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NTRACTS\259 Fire Alarm and Sprinkler Inspection and Testing\21259\Award Notice &amp; Addendums\"/>
    </mc:Choice>
  </mc:AlternateContent>
  <xr:revisionPtr revIDLastSave="0" documentId="14_{D7778F28-CEBA-4E80-A632-67B833940A7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Vendor Info" sheetId="19" r:id="rId1"/>
    <sheet name="NEW CASTLE COUNTY PRICING" sheetId="11" r:id="rId2"/>
    <sheet name="KENT COUNTY PRICING" sheetId="12" r:id="rId3"/>
    <sheet name="SUSSEX COUNTY PRICING" sheetId="13" r:id="rId4"/>
    <sheet name="Hospitals Pricing" sheetId="6" r:id="rId5"/>
    <sheet name="DOC Pricing" sheetId="10" r:id="rId6"/>
    <sheet name="Fire Extinguishers" sheetId="14" r:id="rId7"/>
    <sheet name="Service Calls" sheetId="16" r:id="rId8"/>
    <sheet name="Hoods" sheetId="18" r:id="rId9"/>
    <sheet name="Delaware Transit" sheetId="20" r:id="rId10"/>
    <sheet name="Delaware Transit Service Calls" sheetId="21" r:id="rId11"/>
  </sheets>
  <definedNames>
    <definedName name="_xlnm._FilterDatabase" localSheetId="1" hidden="1">'NEW CASTLE COUNTY PRICING'!$A$1:$AE$117</definedName>
    <definedName name="_xlnm.Print_Area" localSheetId="5">'DOC Pricing'!$A$1:$F$59</definedName>
    <definedName name="_xlnm.Print_Area" localSheetId="4">'Hospitals Pricing'!$A$1:$D$33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12" l="1"/>
  <c r="G58" i="12"/>
  <c r="F58" i="12"/>
  <c r="D58" i="12"/>
  <c r="C58" i="12"/>
  <c r="C57" i="12"/>
  <c r="D57" i="12"/>
  <c r="F57" i="12"/>
  <c r="C15" i="6"/>
  <c r="F75" i="12"/>
  <c r="F74" i="12"/>
  <c r="F73" i="12"/>
  <c r="F70" i="12"/>
  <c r="F69" i="12"/>
  <c r="F68" i="12"/>
  <c r="F66" i="12"/>
  <c r="F64" i="12"/>
  <c r="F63" i="12"/>
  <c r="G41" i="10" l="1"/>
  <c r="F41" i="10"/>
  <c r="E41" i="10"/>
  <c r="C41" i="10"/>
  <c r="G38" i="10"/>
  <c r="G37" i="10"/>
  <c r="G35" i="10"/>
  <c r="G33" i="10"/>
  <c r="G31" i="10"/>
  <c r="G29" i="10"/>
  <c r="G27" i="10"/>
  <c r="G25" i="10"/>
  <c r="G23" i="10"/>
  <c r="G21" i="10"/>
  <c r="G17" i="10"/>
  <c r="F38" i="10"/>
  <c r="F37" i="10"/>
  <c r="F35" i="10"/>
  <c r="F33" i="10"/>
  <c r="F31" i="10"/>
  <c r="F29" i="10"/>
  <c r="F27" i="10"/>
  <c r="F25" i="10"/>
  <c r="F23" i="10"/>
  <c r="F21" i="10"/>
  <c r="F17" i="10"/>
  <c r="E38" i="10"/>
  <c r="E37" i="10"/>
  <c r="E35" i="10"/>
  <c r="E33" i="10"/>
  <c r="E31" i="10"/>
  <c r="E29" i="10"/>
  <c r="E27" i="10"/>
  <c r="E25" i="10"/>
  <c r="E23" i="10"/>
  <c r="E21" i="10"/>
  <c r="E17" i="10"/>
  <c r="C38" i="10"/>
  <c r="C37" i="10"/>
  <c r="C35" i="10"/>
  <c r="C33" i="10"/>
  <c r="C31" i="10"/>
  <c r="C29" i="10"/>
  <c r="C27" i="10"/>
  <c r="C25" i="10"/>
  <c r="C23" i="10"/>
  <c r="C21" i="10"/>
  <c r="C17" i="10"/>
  <c r="B41" i="10"/>
  <c r="B38" i="10"/>
  <c r="B37" i="10"/>
  <c r="B35" i="10"/>
  <c r="B33" i="10"/>
  <c r="B31" i="10"/>
  <c r="B29" i="10"/>
  <c r="B27" i="10"/>
  <c r="B25" i="10"/>
  <c r="B23" i="10"/>
  <c r="B21" i="10"/>
  <c r="B17" i="10"/>
  <c r="G20" i="6"/>
  <c r="F20" i="6"/>
  <c r="E20" i="6"/>
  <c r="B20" i="6"/>
  <c r="G18" i="6"/>
  <c r="G15" i="6"/>
  <c r="G14" i="6"/>
  <c r="G13" i="6"/>
  <c r="G12" i="6"/>
  <c r="F18" i="6"/>
  <c r="F14" i="6"/>
  <c r="F15" i="6"/>
  <c r="F13" i="6"/>
  <c r="F12" i="6"/>
  <c r="E18" i="6"/>
  <c r="E15" i="6"/>
  <c r="E12" i="6"/>
  <c r="C18" i="6"/>
  <c r="C12" i="6"/>
  <c r="B18" i="6"/>
  <c r="B15" i="6"/>
  <c r="B12" i="6"/>
  <c r="C17" i="13"/>
  <c r="H66" i="13"/>
  <c r="H65" i="13"/>
  <c r="H64" i="13"/>
  <c r="H62" i="13"/>
  <c r="H63" i="13"/>
  <c r="H61" i="13"/>
  <c r="H60" i="13"/>
  <c r="H59" i="13"/>
  <c r="H58" i="13"/>
  <c r="H52" i="13"/>
  <c r="H53" i="13"/>
  <c r="H54" i="13"/>
  <c r="H55" i="13"/>
  <c r="H56" i="13"/>
  <c r="H51" i="13"/>
  <c r="H50" i="13"/>
  <c r="H49" i="13"/>
  <c r="H48" i="13"/>
  <c r="H47" i="13"/>
  <c r="H45" i="13"/>
  <c r="H46" i="13"/>
  <c r="H44" i="13"/>
  <c r="H42" i="13"/>
  <c r="H43" i="13"/>
  <c r="H41" i="13"/>
  <c r="H36" i="13"/>
  <c r="H37" i="13"/>
  <c r="H38" i="13"/>
  <c r="H39" i="13"/>
  <c r="H35" i="13"/>
  <c r="H34" i="13"/>
  <c r="H33" i="13"/>
  <c r="H32" i="13"/>
  <c r="H31" i="13"/>
  <c r="H30" i="13"/>
  <c r="H29" i="13"/>
  <c r="H27" i="13"/>
  <c r="H26" i="13"/>
  <c r="H25" i="13"/>
  <c r="H23" i="13"/>
  <c r="H22" i="13"/>
  <c r="H21" i="13"/>
  <c r="H19" i="13"/>
  <c r="H20" i="13"/>
  <c r="H18" i="13"/>
  <c r="H17" i="13"/>
  <c r="H16" i="13"/>
  <c r="H15" i="13"/>
  <c r="H13" i="13"/>
  <c r="H14" i="13"/>
  <c r="H12" i="13"/>
  <c r="G66" i="13"/>
  <c r="G65" i="13"/>
  <c r="G64" i="13"/>
  <c r="G63" i="13"/>
  <c r="G62" i="13"/>
  <c r="G61" i="13"/>
  <c r="G60" i="13"/>
  <c r="G59" i="13"/>
  <c r="G58" i="13"/>
  <c r="G52" i="13"/>
  <c r="G53" i="13"/>
  <c r="G54" i="13"/>
  <c r="G55" i="13"/>
  <c r="G56" i="13"/>
  <c r="G51" i="13"/>
  <c r="G50" i="13"/>
  <c r="G49" i="13"/>
  <c r="G48" i="13"/>
  <c r="G46" i="13"/>
  <c r="G44" i="13"/>
  <c r="G42" i="13"/>
  <c r="G43" i="13"/>
  <c r="G41" i="13"/>
  <c r="G36" i="13"/>
  <c r="G37" i="13"/>
  <c r="G38" i="13"/>
  <c r="G39" i="13"/>
  <c r="G35" i="13"/>
  <c r="G34" i="13"/>
  <c r="G33" i="13"/>
  <c r="G32" i="13"/>
  <c r="G31" i="13"/>
  <c r="G30" i="13"/>
  <c r="G29" i="13"/>
  <c r="G27" i="13"/>
  <c r="G26" i="13"/>
  <c r="G25" i="13"/>
  <c r="G23" i="13"/>
  <c r="G22" i="13"/>
  <c r="G21" i="13"/>
  <c r="G19" i="13"/>
  <c r="G20" i="13"/>
  <c r="G18" i="13"/>
  <c r="G17" i="13"/>
  <c r="G16" i="13"/>
  <c r="G15" i="13"/>
  <c r="G13" i="13"/>
  <c r="G14" i="13"/>
  <c r="G12" i="13"/>
  <c r="F66" i="13"/>
  <c r="F65" i="13"/>
  <c r="F64" i="13"/>
  <c r="F63" i="13"/>
  <c r="F58" i="13"/>
  <c r="F50" i="13"/>
  <c r="F48" i="13"/>
  <c r="F49" i="13"/>
  <c r="F46" i="13"/>
  <c r="F43" i="13"/>
  <c r="F41" i="13"/>
  <c r="F39" i="13"/>
  <c r="F38" i="13"/>
  <c r="F37" i="13"/>
  <c r="F34" i="13"/>
  <c r="F33" i="13"/>
  <c r="F32" i="13"/>
  <c r="F18" i="13"/>
  <c r="F19" i="13"/>
  <c r="F20" i="13"/>
  <c r="F21" i="13"/>
  <c r="F22" i="13"/>
  <c r="F23" i="13"/>
  <c r="F17" i="13"/>
  <c r="F15" i="13"/>
  <c r="D66" i="13"/>
  <c r="D65" i="13"/>
  <c r="D64" i="13"/>
  <c r="D63" i="13"/>
  <c r="D58" i="13"/>
  <c r="D50" i="13"/>
  <c r="D49" i="13"/>
  <c r="D48" i="13"/>
  <c r="D46" i="13"/>
  <c r="D43" i="13"/>
  <c r="D41" i="13"/>
  <c r="D38" i="13"/>
  <c r="D39" i="13"/>
  <c r="D37" i="13"/>
  <c r="D34" i="13"/>
  <c r="D33" i="13"/>
  <c r="D32" i="13"/>
  <c r="D23" i="13"/>
  <c r="D22" i="13"/>
  <c r="D21" i="13"/>
  <c r="D20" i="13"/>
  <c r="D19" i="13"/>
  <c r="D18" i="13"/>
  <c r="D17" i="13"/>
  <c r="D15" i="13"/>
  <c r="C66" i="13"/>
  <c r="C65" i="13"/>
  <c r="C64" i="13"/>
  <c r="C63" i="13"/>
  <c r="C58" i="13"/>
  <c r="C50" i="13"/>
  <c r="C49" i="13"/>
  <c r="C48" i="13"/>
  <c r="C46" i="13"/>
  <c r="C43" i="13"/>
  <c r="C41" i="13"/>
  <c r="C38" i="13"/>
  <c r="C39" i="13"/>
  <c r="C37" i="13"/>
  <c r="C34" i="13"/>
  <c r="C33" i="13"/>
  <c r="C32" i="13"/>
  <c r="C23" i="13"/>
  <c r="C22" i="13"/>
  <c r="C21" i="13"/>
  <c r="C20" i="13"/>
  <c r="C19" i="13"/>
  <c r="C18" i="13"/>
  <c r="C15" i="13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7" i="12"/>
  <c r="H56" i="12"/>
  <c r="H54" i="12"/>
  <c r="H55" i="12"/>
  <c r="H53" i="12"/>
  <c r="H52" i="12"/>
  <c r="H51" i="12"/>
  <c r="H50" i="12"/>
  <c r="H49" i="12"/>
  <c r="H47" i="12"/>
  <c r="H48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29" i="12"/>
  <c r="H30" i="12"/>
  <c r="H31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7" i="12"/>
  <c r="G56" i="12"/>
  <c r="G54" i="12"/>
  <c r="G55" i="12"/>
  <c r="G53" i="12"/>
  <c r="G52" i="12"/>
  <c r="G51" i="12"/>
  <c r="G50" i="12"/>
  <c r="G49" i="12"/>
  <c r="G47" i="12"/>
  <c r="G48" i="12"/>
  <c r="G46" i="12"/>
  <c r="G45" i="12"/>
  <c r="G44" i="12"/>
  <c r="G42" i="12"/>
  <c r="G43" i="12"/>
  <c r="G41" i="12"/>
  <c r="G40" i="12"/>
  <c r="G39" i="12"/>
  <c r="G38" i="12"/>
  <c r="G37" i="12"/>
  <c r="G36" i="12"/>
  <c r="G35" i="12"/>
  <c r="G34" i="12"/>
  <c r="G33" i="12"/>
  <c r="G32" i="12"/>
  <c r="G29" i="12"/>
  <c r="G30" i="12"/>
  <c r="G31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F56" i="12"/>
  <c r="F54" i="12"/>
  <c r="F52" i="12"/>
  <c r="F49" i="12"/>
  <c r="F47" i="12"/>
  <c r="F44" i="12"/>
  <c r="F38" i="12"/>
  <c r="F39" i="12"/>
  <c r="F40" i="12"/>
  <c r="F37" i="12"/>
  <c r="F34" i="12"/>
  <c r="F24" i="12"/>
  <c r="F22" i="12"/>
  <c r="F18" i="12"/>
  <c r="F13" i="12"/>
  <c r="F14" i="12"/>
  <c r="F15" i="12"/>
  <c r="F12" i="12"/>
  <c r="D75" i="12"/>
  <c r="D74" i="12"/>
  <c r="D73" i="12"/>
  <c r="D70" i="12"/>
  <c r="D69" i="12"/>
  <c r="D68" i="12"/>
  <c r="D66" i="12"/>
  <c r="D64" i="12"/>
  <c r="D63" i="12"/>
  <c r="D56" i="12"/>
  <c r="D54" i="12"/>
  <c r="D52" i="12"/>
  <c r="D49" i="12"/>
  <c r="D47" i="12"/>
  <c r="D44" i="12"/>
  <c r="D40" i="12"/>
  <c r="D39" i="12"/>
  <c r="D38" i="12"/>
  <c r="D37" i="12"/>
  <c r="D34" i="12"/>
  <c r="D24" i="12"/>
  <c r="D22" i="12"/>
  <c r="D18" i="12"/>
  <c r="D14" i="12"/>
  <c r="D15" i="12"/>
  <c r="D13" i="12"/>
  <c r="D12" i="12"/>
  <c r="C75" i="12"/>
  <c r="C74" i="12"/>
  <c r="C73" i="12"/>
  <c r="C70" i="12"/>
  <c r="C69" i="12"/>
  <c r="C68" i="12"/>
  <c r="C66" i="12"/>
  <c r="C64" i="12"/>
  <c r="C63" i="12"/>
  <c r="C56" i="12"/>
  <c r="C54" i="12"/>
  <c r="C52" i="12"/>
  <c r="C49" i="12"/>
  <c r="C47" i="12"/>
  <c r="C44" i="12"/>
  <c r="C40" i="12"/>
  <c r="C39" i="12"/>
  <c r="C38" i="12"/>
  <c r="C37" i="12"/>
  <c r="C34" i="12"/>
  <c r="C24" i="12"/>
  <c r="C22" i="12"/>
  <c r="C18" i="12"/>
  <c r="C14" i="12"/>
  <c r="C15" i="12"/>
  <c r="C13" i="12"/>
  <c r="C12" i="12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0" i="11"/>
  <c r="H49" i="11"/>
  <c r="H48" i="11"/>
  <c r="H46" i="11"/>
  <c r="H45" i="11"/>
  <c r="H44" i="11"/>
  <c r="H43" i="11"/>
  <c r="H42" i="11"/>
  <c r="H41" i="11"/>
  <c r="H40" i="11"/>
  <c r="H39" i="11"/>
  <c r="H38" i="11"/>
  <c r="H37" i="11"/>
  <c r="H36" i="11"/>
  <c r="H32" i="11"/>
  <c r="H33" i="11"/>
  <c r="H34" i="11"/>
  <c r="H35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49" i="11"/>
  <c r="G50" i="11"/>
  <c r="G48" i="11"/>
  <c r="G46" i="11"/>
  <c r="G45" i="11"/>
  <c r="G44" i="11"/>
  <c r="G43" i="11"/>
  <c r="G42" i="11"/>
  <c r="G41" i="11"/>
  <c r="G40" i="11"/>
  <c r="G39" i="11"/>
  <c r="G38" i="11"/>
  <c r="G37" i="11"/>
  <c r="G36" i="11"/>
  <c r="G32" i="11"/>
  <c r="G33" i="11"/>
  <c r="G34" i="11"/>
  <c r="G35" i="11"/>
  <c r="G31" i="11"/>
  <c r="G30" i="11"/>
  <c r="G29" i="11"/>
  <c r="G28" i="11"/>
  <c r="G27" i="11"/>
  <c r="G26" i="11"/>
  <c r="G25" i="11"/>
  <c r="G24" i="11"/>
  <c r="G23" i="11"/>
  <c r="G22" i="11"/>
  <c r="G21" i="11"/>
  <c r="G19" i="11"/>
  <c r="G20" i="11"/>
  <c r="G18" i="11"/>
  <c r="G17" i="11"/>
  <c r="G16" i="11"/>
  <c r="G15" i="11"/>
  <c r="G14" i="11"/>
  <c r="G13" i="11"/>
  <c r="G12" i="11"/>
  <c r="D92" i="11"/>
  <c r="D89" i="11"/>
  <c r="D87" i="11"/>
  <c r="D84" i="11"/>
  <c r="D85" i="11"/>
  <c r="D83" i="11"/>
  <c r="D82" i="11"/>
  <c r="D80" i="11"/>
  <c r="D79" i="11"/>
  <c r="D77" i="11"/>
  <c r="D76" i="11"/>
  <c r="D75" i="11"/>
  <c r="D70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4" i="11"/>
  <c r="D46" i="11"/>
  <c r="D44" i="11"/>
  <c r="D42" i="11"/>
  <c r="D40" i="11"/>
  <c r="D39" i="11"/>
  <c r="D37" i="11"/>
  <c r="D28" i="11"/>
  <c r="D27" i="11"/>
  <c r="D26" i="11"/>
  <c r="D25" i="11"/>
  <c r="D24" i="11"/>
  <c r="D23" i="11"/>
  <c r="D21" i="11"/>
  <c r="D20" i="11"/>
  <c r="D19" i="11"/>
  <c r="D17" i="11"/>
  <c r="D18" i="11"/>
  <c r="D16" i="11"/>
  <c r="D15" i="11"/>
  <c r="C92" i="11"/>
  <c r="C89" i="11"/>
  <c r="C87" i="11"/>
  <c r="C84" i="11"/>
  <c r="C85" i="11"/>
  <c r="C83" i="11"/>
  <c r="C82" i="11"/>
  <c r="C80" i="11"/>
  <c r="C79" i="11"/>
  <c r="C77" i="11"/>
  <c r="C76" i="11"/>
  <c r="C75" i="11"/>
  <c r="C70" i="11"/>
  <c r="C68" i="11"/>
  <c r="C67" i="11"/>
  <c r="C66" i="11"/>
  <c r="C65" i="11"/>
  <c r="C64" i="11"/>
  <c r="C63" i="11"/>
  <c r="C62" i="11"/>
  <c r="C61" i="11"/>
  <c r="C60" i="11" l="1"/>
  <c r="C59" i="11"/>
  <c r="C58" i="11"/>
  <c r="C57" i="11"/>
  <c r="C54" i="11"/>
  <c r="C46" i="11"/>
  <c r="C44" i="11" l="1"/>
  <c r="C42" i="11"/>
  <c r="C40" i="11"/>
  <c r="C39" i="11"/>
  <c r="C37" i="11"/>
  <c r="C28" i="11"/>
  <c r="C27" i="11"/>
  <c r="C26" i="11"/>
  <c r="C25" i="11"/>
  <c r="C24" i="11"/>
  <c r="C23" i="11"/>
  <c r="C21" i="11"/>
  <c r="C20" i="11"/>
  <c r="C19" i="11"/>
  <c r="C17" i="11"/>
  <c r="C18" i="11"/>
  <c r="C16" i="11"/>
  <c r="C15" i="11"/>
  <c r="F92" i="11"/>
  <c r="F89" i="11"/>
  <c r="F87" i="11"/>
  <c r="F85" i="11"/>
  <c r="F84" i="11"/>
  <c r="F83" i="11"/>
  <c r="F82" i="11"/>
  <c r="F80" i="11"/>
  <c r="F79" i="11"/>
  <c r="F76" i="11"/>
  <c r="F77" i="11"/>
  <c r="F75" i="11"/>
  <c r="F70" i="11"/>
  <c r="F58" i="11"/>
  <c r="F59" i="11"/>
  <c r="F60" i="11"/>
  <c r="F61" i="11"/>
  <c r="F62" i="11"/>
  <c r="F63" i="11"/>
  <c r="F64" i="11"/>
  <c r="F65" i="11"/>
  <c r="F66" i="11"/>
  <c r="F67" i="11"/>
  <c r="F68" i="11"/>
  <c r="F57" i="11"/>
  <c r="F54" i="11"/>
  <c r="F46" i="11"/>
  <c r="F44" i="11"/>
  <c r="F42" i="11"/>
  <c r="F40" i="11"/>
  <c r="F39" i="11"/>
  <c r="F37" i="11"/>
  <c r="F24" i="11"/>
  <c r="F25" i="11"/>
  <c r="F26" i="11"/>
  <c r="F27" i="11"/>
  <c r="F28" i="11"/>
  <c r="F23" i="11"/>
  <c r="F16" i="11"/>
  <c r="F17" i="11"/>
  <c r="F18" i="11"/>
  <c r="F19" i="11"/>
  <c r="F20" i="11"/>
  <c r="F21" i="11"/>
  <c r="F15" i="11"/>
  <c r="F12" i="11"/>
  <c r="D12" i="11"/>
  <c r="C12" i="11"/>
</calcChain>
</file>

<file path=xl/sharedStrings.xml><?xml version="1.0" encoding="utf-8"?>
<sst xmlns="http://schemas.openxmlformats.org/spreadsheetml/2006/main" count="3847" uniqueCount="480">
  <si>
    <t>Address:</t>
  </si>
  <si>
    <t>Fire Alarm</t>
  </si>
  <si>
    <t>TOTAL</t>
  </si>
  <si>
    <t>Hospitals</t>
  </si>
  <si>
    <t>Hourly Service Rates:</t>
  </si>
  <si>
    <t>Weekends</t>
  </si>
  <si>
    <t>Holidays</t>
  </si>
  <si>
    <t>After Hours (4:30pm)</t>
  </si>
  <si>
    <t>Dept. of Correction Facilities</t>
  </si>
  <si>
    <t xml:space="preserve">    a.  Infirmary</t>
  </si>
  <si>
    <t>Names of Qualified Technicians:</t>
  </si>
  <si>
    <t>1. James T. Vaughn Corr. Ctr.</t>
  </si>
  <si>
    <t>9.  HDP Women's Work Release</t>
  </si>
  <si>
    <t>10.  Central VOP</t>
  </si>
  <si>
    <t xml:space="preserve">                         Prickett Preaction</t>
  </si>
  <si>
    <t xml:space="preserve">                         Prickett</t>
  </si>
  <si>
    <t xml:space="preserve">                         Lab</t>
  </si>
  <si>
    <t>BUILDING</t>
  </si>
  <si>
    <t>OFFICE OF STATE FIRE MARSHALL-NCC TRAINING COMPLEX</t>
  </si>
  <si>
    <t>DE STATE FIRE SCHOOL FIRE TRAINING COMPLEX</t>
  </si>
  <si>
    <t>JP COURT 10 &amp; 12 PRICES CORNER</t>
  </si>
  <si>
    <t>NEW CASTLE MOTOR VEHICLE</t>
  </si>
  <si>
    <t xml:space="preserve">HESSLER MOTOR VEHICLE- 3 LANE </t>
  </si>
  <si>
    <t>HESSLER MOTOR VEHICLE -7 LANE</t>
  </si>
  <si>
    <t>HESSLER MOTOR VEHICLE- MAIN BLDG</t>
  </si>
  <si>
    <t>ABSALM JONES COMMUNITY CTR</t>
  </si>
  <si>
    <t>AMOCO BUILDING</t>
  </si>
  <si>
    <t>DIV. OF PURCHASING OFFICE</t>
  </si>
  <si>
    <t>DIV. OF PURCHASING SURPLUS</t>
  </si>
  <si>
    <t>DIV. OF PURCHASING WAREHOUSE/REFRIG</t>
  </si>
  <si>
    <t>DSP TROOP #2</t>
  </si>
  <si>
    <t>BUENA VISTA CONF. CENTER</t>
  </si>
  <si>
    <t>BUENA VISTA - GARAGE</t>
  </si>
  <si>
    <t>BELMONT HALL</t>
  </si>
  <si>
    <t>ROBINSON HOUSE</t>
  </si>
  <si>
    <t>SHERIFF'S HOUSE</t>
  </si>
  <si>
    <t>THE ARSENAL</t>
  </si>
  <si>
    <t>DARLEY HOUSE</t>
  </si>
  <si>
    <t>DAYETT MILL</t>
  </si>
  <si>
    <t>DE LA WARR STATE Service Ctr</t>
  </si>
  <si>
    <t>NORTHEAST STATE SERVICE CTR.</t>
  </si>
  <si>
    <t>HUDSON STATE SERVICE CTR.</t>
  </si>
  <si>
    <t>PORTER STATE SERVICE CTR.</t>
  </si>
  <si>
    <t>DANG AVIATION SUPPORT FACILITY</t>
  </si>
  <si>
    <t>NEWPORT GAP PIKE</t>
  </si>
  <si>
    <t>CSMS RIVER ROAD</t>
  </si>
  <si>
    <t xml:space="preserve">JFHQ </t>
  </si>
  <si>
    <t>JFHQ DOIM Server Room</t>
  </si>
  <si>
    <t>USP &amp; FO</t>
  </si>
  <si>
    <t>SMYRNA READINESS</t>
  </si>
  <si>
    <t>JP COURT #8 SMYRNA</t>
  </si>
  <si>
    <t>BUENA VISTA COTTAGE</t>
  </si>
  <si>
    <t>BUENA VISTA GREENHOUSE</t>
  </si>
  <si>
    <t>MCCRONE HOUSE</t>
  </si>
  <si>
    <t>EDUCATION BLDG</t>
  </si>
  <si>
    <t>DE VETERANS CEMETARY (Bear)</t>
  </si>
  <si>
    <t>DELDOT NORTH DIST. MAIN BLDG</t>
  </si>
  <si>
    <t>DELDOT NORTH DIST. PAINT SHOP</t>
  </si>
  <si>
    <t>OLD NCC COURTHOUSE</t>
  </si>
  <si>
    <t xml:space="preserve">DEL TECH - WILM DAYCARE </t>
  </si>
  <si>
    <t>DEL TECH-WILM EAST CAMPUS</t>
  </si>
  <si>
    <t>DEL TECH-WILM PARKING GARAGE</t>
  </si>
  <si>
    <t>DEL TECH-WILM SOUTHEAST</t>
  </si>
  <si>
    <t>DEL TECH-WILM WEST CAMPUS</t>
  </si>
  <si>
    <t>BAYLOR WOMENS CORRECTION INST</t>
  </si>
  <si>
    <t>JAMES T VAUGHN CORRECTION CTR</t>
  </si>
  <si>
    <t>HDP WOMENS WORK RELEASE</t>
  </si>
  <si>
    <t>CENTRAL VOP</t>
  </si>
  <si>
    <t>PLUMMER HOUSE</t>
  </si>
  <si>
    <t>HOWARD R YOUNG CORRECTIONAL INST</t>
  </si>
  <si>
    <t>WEBB CORRECTIONAL</t>
  </si>
  <si>
    <t>JP COURT #9 MIDDLETOWN</t>
  </si>
  <si>
    <t>BIDDLE TOLL PLAZA</t>
  </si>
  <si>
    <t>NCC FAMILY COURT</t>
  </si>
  <si>
    <t>DE PSYCHIATRIC CTR HIDEAWAY CAFÉ BLDG 103</t>
  </si>
  <si>
    <t>DE PSYCHIATRIC CTR 3RD FLOOR MAIN BLDG</t>
  </si>
  <si>
    <t>DE PSYCHIATRIC CTR MITCHELL BLDG 300</t>
  </si>
  <si>
    <t>DE PSYCHIATRIC CTR T BLDG</t>
  </si>
  <si>
    <t>DE PSYCHIATRIC CTR BOILER HOUSE</t>
  </si>
  <si>
    <t>DE PSYCHIATRIC CTR PUMP HOUSE</t>
  </si>
  <si>
    <t>DE PSYCHIATRIC CTR SPRINGER BLDG</t>
  </si>
  <si>
    <t>DE PSYCHIATRIC CTR BIGGS BLDG</t>
  </si>
  <si>
    <t>DE PSYCHIATRIC CTR CARVEL BLDG 205</t>
  </si>
  <si>
    <t>DE PSYCHIATRIC CTR SUSSEX BLDG 105</t>
  </si>
  <si>
    <t>DE PSYCHIATRIC CTR KENT BLDG 104</t>
  </si>
  <si>
    <t>DE PSYCHIATRIC CTR LEWIS BLDG 102</t>
  </si>
  <si>
    <t>DE PSYCHIATRIC CTR CHAPEL BLDG 305</t>
  </si>
  <si>
    <t>DE PSYCHIATRIC CTR LAUNDRY BLDG 308</t>
  </si>
  <si>
    <t>DE PSYCHIATRIC CTR WAREHOUSE BLDG 307</t>
  </si>
  <si>
    <t>DE PSYCHIATRIC CTR MAIN ADMIN BLDG 404</t>
  </si>
  <si>
    <t>DE PSYCHIATRIC CTR WHITE HOUSE BLDG</t>
  </si>
  <si>
    <t>New Castle County</t>
  </si>
  <si>
    <t>Kent County</t>
  </si>
  <si>
    <t>LEGISLATIVE HALL</t>
  </si>
  <si>
    <t>JESSE COOPER BLDG.</t>
  </si>
  <si>
    <t>JOHN TOWNSEND BLDG.</t>
  </si>
  <si>
    <t>MARGARET O’NEILL BLDG.</t>
  </si>
  <si>
    <t>CREDIT UNION/CAPITOL POLICE BLDG.</t>
  </si>
  <si>
    <t>WAR BLDG.</t>
  </si>
  <si>
    <t xml:space="preserve">TATNALL BUILDING </t>
  </si>
  <si>
    <t>SKYES BUILDING</t>
  </si>
  <si>
    <t>ROBERT SHORT BLDG./KIRK BLDG.</t>
  </si>
  <si>
    <t>J.P. COURT #8</t>
  </si>
  <si>
    <t>SUPREME COURT</t>
  </si>
  <si>
    <t>PUBLIC SAFETY BLDG./HOMELAND SECURITY</t>
  </si>
  <si>
    <t>STATE POLICE HQS.</t>
  </si>
  <si>
    <t>STATE BUREAU OF INVESTIGATION</t>
  </si>
  <si>
    <t>STATE POLICE ACADEMY</t>
  </si>
  <si>
    <t>OCTAGONAL SCHOOL HOUSE</t>
  </si>
  <si>
    <t>JOHNSON VICTROLA MUSEUM</t>
  </si>
  <si>
    <t>ARCHAEOLOGY MUSEUM</t>
  </si>
  <si>
    <t>SMALL TOWN LIFE MUSEUM</t>
  </si>
  <si>
    <t>EXHIBITS LAB</t>
  </si>
  <si>
    <t>TUDOR PARK STORAGE I</t>
  </si>
  <si>
    <t>TUDOR PARK STORAGE II</t>
  </si>
  <si>
    <t>DE VISITORS CENTER</t>
  </si>
  <si>
    <t>JOHN DICKINSON PLANTATION - VISITOR CTR.</t>
  </si>
  <si>
    <t>JOHN DICKINSON PLANTATION - HOUSE</t>
  </si>
  <si>
    <t>FIRE SCHOOL-DOVER</t>
  </si>
  <si>
    <t>KENT COUNTY FAMILY COURT BLDG.</t>
  </si>
  <si>
    <t>HIGHWAY ADMINISTRATION BLDG.</t>
  </si>
  <si>
    <t>HIGHWAY ADMINISTRATION LAB.</t>
  </si>
  <si>
    <t>WOODBURN</t>
  </si>
  <si>
    <t>HALL HOUSE</t>
  </si>
  <si>
    <t>MURPHY HOUSE</t>
  </si>
  <si>
    <t>THOMAS COLLINS BLDG.</t>
  </si>
  <si>
    <t>JAMES WILLIAMS SERVICE CENTER</t>
  </si>
  <si>
    <t xml:space="preserve">DIVISION OF COMMUNICATION </t>
  </si>
  <si>
    <t>FIRE MARSHALL’S OFFICE-DOVER</t>
  </si>
  <si>
    <t>STATE POLICE LAB</t>
  </si>
  <si>
    <t>AGRICULTURE BLDG.</t>
  </si>
  <si>
    <t>PRESCHOOL YOUTH &amp; DIAGNOSTIC CNTR.</t>
  </si>
  <si>
    <t>ROSE COTTAGE</t>
  </si>
  <si>
    <t>WILLIAM PENN BLDG.</t>
  </si>
  <si>
    <t>PUBLIC ARCHIVES</t>
  </si>
  <si>
    <t>MASSEY STATION</t>
  </si>
  <si>
    <t>AGRICULTURE NUTRIENT LAB</t>
  </si>
  <si>
    <t>DEPT OF AGRICULTURE</t>
  </si>
  <si>
    <t>DOVER INSPECTION LANE</t>
  </si>
  <si>
    <t>FACILITIES MGMT BLDGS/GRNDS</t>
  </si>
  <si>
    <t>STATE POLICE TROOP #3</t>
  </si>
  <si>
    <t>DE EMERGENCY MGMT CENTER</t>
  </si>
  <si>
    <t>NEW JUSTICE OF THE PEACE CRTS #7 &amp; #16</t>
  </si>
  <si>
    <t>STATE POLICE FIRING RANGE</t>
  </si>
  <si>
    <t>KENT COUNTY SUPERIOR COURT</t>
  </si>
  <si>
    <t>STATE POLICE TROOP #3 GARAGE</t>
  </si>
  <si>
    <t>HASLETT ARMORY BLDG</t>
  </si>
  <si>
    <t>ABBOTTS MILL</t>
  </si>
  <si>
    <t>DE VETERANS HOME</t>
  </si>
  <si>
    <t>KENT COUNTY COURTHOUSE</t>
  </si>
  <si>
    <t>OLD STATE BUILDING</t>
  </si>
  <si>
    <t>MORRIS CORRECTIONAL</t>
  </si>
  <si>
    <t>DOVER TOLL PLAZA</t>
  </si>
  <si>
    <t>SCARBOROUGH RD TOLLGATE</t>
  </si>
  <si>
    <t>EDGEHILL BLDG</t>
  </si>
  <si>
    <t>DelDOT M &amp; O RESOURCE CTR</t>
  </si>
  <si>
    <t>DelDOT DOVER SIGN &amp; SIGNAL SHOP</t>
  </si>
  <si>
    <t>JP COURT #6</t>
  </si>
  <si>
    <t>JP COURT #3 &amp; #17</t>
  </si>
  <si>
    <t>JP COURT #4 &amp; #19</t>
  </si>
  <si>
    <t>SABO BUILDING</t>
  </si>
  <si>
    <t>SUSSEX COUNTY COURT HOUSE</t>
  </si>
  <si>
    <t>FIRE SERVICE CENTER-GEORGETOWN</t>
  </si>
  <si>
    <t>THE ANNEX BLDG. #70</t>
  </si>
  <si>
    <t>SUSSEX CHANCERY COURT</t>
  </si>
  <si>
    <t>BRIDGEVILLE EMS</t>
  </si>
  <si>
    <t>DSP TROOP #5</t>
  </si>
  <si>
    <t>GEORGETOWN DMV LANES</t>
  </si>
  <si>
    <t>FACILITIES SHOP</t>
  </si>
  <si>
    <t>ZWAANENDALL MUSEUM</t>
  </si>
  <si>
    <t>ISLAND FIELD WAREHOUSE</t>
  </si>
  <si>
    <t xml:space="preserve">PRINCE GEORGES CHAPEL </t>
  </si>
  <si>
    <t>DE VETERAN'S CEMETARY (MILLSBORO)</t>
  </si>
  <si>
    <t>DANG - BETHANY</t>
  </si>
  <si>
    <t>DAGSBORO ARMORY</t>
  </si>
  <si>
    <t>DANG - SEAFORD</t>
  </si>
  <si>
    <t>SUSSEX CORRECTIONAL INST.</t>
  </si>
  <si>
    <t>SUSSEX VOP</t>
  </si>
  <si>
    <t>SUSSEX WORK RELEASE CTR</t>
  </si>
  <si>
    <t>STOCKLEY CTR 101 BOYD BLVD BB</t>
  </si>
  <si>
    <t>STOCKLEY CTR 101 LLOYD LANE LL</t>
  </si>
  <si>
    <t>STOCKLEY CTR 101 WAPLES WAY WW</t>
  </si>
  <si>
    <t>STOCKLEY CTR 102 BOYD BLVD BB</t>
  </si>
  <si>
    <t>STOCKLEY CTR 102 LLOYD LANE LL</t>
  </si>
  <si>
    <t>STOCKLEY CTR 102 WAPLES WAY WW</t>
  </si>
  <si>
    <t>STOCKLEY CTR ALL FAITH CHAPEL</t>
  </si>
  <si>
    <t>STOCKLEY CTR ALL STAR CTR</t>
  </si>
  <si>
    <t>STOCKLEY CTR FACILITY OP OFFICE &amp; WAREHOUSE</t>
  </si>
  <si>
    <t>STOCKLEY CTR GEHRT</t>
  </si>
  <si>
    <t>STOCKLEY CTR JORDAN HOUSE</t>
  </si>
  <si>
    <t>STOCKLEY CTR MAINT SHOP</t>
  </si>
  <si>
    <t>STOCKLEY CTR MAC CENTER</t>
  </si>
  <si>
    <t>STOCKLEY CTR MEDICAL EXAMINER OFFICE</t>
  </si>
  <si>
    <t>MORRIS MANOR</t>
  </si>
  <si>
    <t>STOCKLEY CTR CAMPBELL 1C</t>
  </si>
  <si>
    <t>STOCKLEY CTR CAMPBELL 2C</t>
  </si>
  <si>
    <t>STOCKLEY CTR CAMPBELL 3C</t>
  </si>
  <si>
    <t>STOCKLEY CTR CAMPBELL 4C</t>
  </si>
  <si>
    <t>STOCKLEY CTR CAMPBELL 5C</t>
  </si>
  <si>
    <t>STOCKLEY CTR CAMPBELL 6C</t>
  </si>
  <si>
    <t>BRIDGEVILLE STATE SERVICE CTR</t>
  </si>
  <si>
    <t>GEORGETOWN STATE SERVICE CTR</t>
  </si>
  <si>
    <t>LAUREL STATE SERVICE CENTER</t>
  </si>
  <si>
    <t>MILFORD STATE SERVICE CTR - ANNEX</t>
  </si>
  <si>
    <t>MILFORD STATE SERVICE CTR-WALNUT ST</t>
  </si>
  <si>
    <t>SHIPLEY STATE SERVICE CENTER</t>
  </si>
  <si>
    <t>SPENCER GROUP HOME</t>
  </si>
  <si>
    <t>ELLENDALE SUPPORT SVCS CTR</t>
  </si>
  <si>
    <t>Sussex County</t>
  </si>
  <si>
    <t>FIRE SUPPRESSION SERVICES, INSPECTION, AND TESTING</t>
  </si>
  <si>
    <t>BASIC SERVICE CALLS</t>
  </si>
  <si>
    <t>All Other</t>
  </si>
  <si>
    <t>Hourly labor rate, business hours 8:00 am - 4:30 pm</t>
  </si>
  <si>
    <t>Hourly labor rate, after hours</t>
  </si>
  <si>
    <t>Hourly labor rate, Holidays and Weekends</t>
  </si>
  <si>
    <t>Hourly labor rate, emergency repairs</t>
  </si>
  <si>
    <t>Discount off - repair parts (%)</t>
  </si>
  <si>
    <t>SERVICE AND MAINTENANCE</t>
  </si>
  <si>
    <t>ANNUAL RECHARGE MAINTENANCE</t>
  </si>
  <si>
    <t>Annual Maint.</t>
  </si>
  <si>
    <t>Recharge</t>
  </si>
  <si>
    <t>Pressurized water, 2.5 gal</t>
  </si>
  <si>
    <t>Dry chemical standard charge (2 1/2 lb. - 2 3.4 lbs. stored pressure or cartridge)</t>
  </si>
  <si>
    <t>Dry chemical standard charge (5 lb. stored pressure or cartridge)</t>
  </si>
  <si>
    <t>Dry chemical standard charge (10 lbs. stored pressure or cartridge)</t>
  </si>
  <si>
    <t>Dry chemical standard charge (20 lbs. stored pressure or cartridge)</t>
  </si>
  <si>
    <t>Dry chemical potassium charge (purple K or ABC 2 1/2 -2 3/4 stored pressure or cartridge)</t>
  </si>
  <si>
    <t>Pressurized water, 2.5 gal ( Purple K or ABC 20 lbs. pressure or cartridge)</t>
  </si>
  <si>
    <t>Carbon Dioxide: 2 1/2 lbs. CO2</t>
  </si>
  <si>
    <t>Carbon Dioxide: 5 lbs. CO2</t>
  </si>
  <si>
    <t>Carbon Dioxide: 10 lbs. CO2</t>
  </si>
  <si>
    <t>Carbon Dioxide: 15 lbs. CO2</t>
  </si>
  <si>
    <t>Carbon Dioxide: 20 lbs. CO2</t>
  </si>
  <si>
    <t>Carbon Dioxide: 75 lbs. CO2</t>
  </si>
  <si>
    <t>Halon 1211: 2 1/2 lbs.</t>
  </si>
  <si>
    <t>Halon 1211: 5 lbs.</t>
  </si>
  <si>
    <t>Halon 1211: 9 lbs.</t>
  </si>
  <si>
    <t>Halon 1211: 13 lbs.</t>
  </si>
  <si>
    <t>Halon 1211: 17 lbs.</t>
  </si>
  <si>
    <t>Halon 1211: 20 lbs.</t>
  </si>
  <si>
    <t>Fire Depression System</t>
  </si>
  <si>
    <t>Dry Chemical type, Ansul R-101</t>
  </si>
  <si>
    <t>Painting: 25 lbs and under</t>
  </si>
  <si>
    <t>Painting: over 25 lbs.</t>
  </si>
  <si>
    <t>Pressurized water, 2.5 gallon</t>
  </si>
  <si>
    <t>Dry Chemical Standard Charge (5 lb. stored pressure or cartridge)</t>
  </si>
  <si>
    <t>Dry Chemical Standard Charge (10 lb. stored pressure or cartridge)</t>
  </si>
  <si>
    <t>Dry Chemical Standard Charge (20 lbs. stored pressure or cartridge)</t>
  </si>
  <si>
    <t>Dry Chemical Potassium Charge (Purple K or ABC 2 1/2- 2 3/4 stored pressure or cartridge)</t>
  </si>
  <si>
    <t>Dry Chemical Potassium Charge (Purple K or ABC 5 lbs. stored pressure or cartridge)</t>
  </si>
  <si>
    <t>Dry Chemical Potassium Charge (Purple K or ABC 10 lbs. stored pressure or cartridge)</t>
  </si>
  <si>
    <t>Pressurized water, 2.5 gallon (Purple K or ABC 20 lbs. store pressure or cartridge)</t>
  </si>
  <si>
    <t>Carbon Dioxide; 2 1/2 lbs. CO2</t>
  </si>
  <si>
    <t xml:space="preserve">Halon 1211: 2 1/2 lbs </t>
  </si>
  <si>
    <t>Halon 1211: 5 lbs</t>
  </si>
  <si>
    <t>Halon 1211: 9 lbs</t>
  </si>
  <si>
    <t>Halon 1211: 13 lbs</t>
  </si>
  <si>
    <t>Halon 1211: 17 lbs</t>
  </si>
  <si>
    <t>Fire Depression System: Dry Chemical Type, Ansul R-101</t>
  </si>
  <si>
    <t>Dry Chemical - Standard Charge</t>
  </si>
  <si>
    <t>Dry Chemical - Potassium Charge</t>
  </si>
  <si>
    <t>Carbon Dioxide</t>
  </si>
  <si>
    <t>Halon 1211</t>
  </si>
  <si>
    <t>LIST ANY OTHER SERVICES OR PRODUCTS YOU CAN PROVIDE:</t>
  </si>
  <si>
    <t>Appendix B Pricing</t>
  </si>
  <si>
    <t xml:space="preserve">Appendix B Pricing </t>
  </si>
  <si>
    <t>NEWARK TOLL PLAZA</t>
  </si>
  <si>
    <t>900 KING ST - WEEKENDS ONLY</t>
  </si>
  <si>
    <t>NCC COURTHOUSE - WEEKENDS ONLY</t>
  </si>
  <si>
    <t>10.  IOC (Penny Lane Bldg)</t>
  </si>
  <si>
    <t>NEW TROOP #3 GARAGE</t>
  </si>
  <si>
    <t>DE PSYCHIATRIC CTR FERNHOOK BLDG</t>
  </si>
  <si>
    <t>DE PSYCHIATRIC CTR TRIPLEX BLDG</t>
  </si>
  <si>
    <t>2. Emily Bisssell Hospital</t>
  </si>
  <si>
    <t>Dry chemical potassium charge (Purple K or ABC 10lbs. Stored pressure or cartridge)</t>
  </si>
  <si>
    <t>Dry chemical potassium charge (Purple K or ABC 5lbs. Stored pressure or cartridge)</t>
  </si>
  <si>
    <t>Hood Range Systems (Inspect)</t>
  </si>
  <si>
    <t>Price per Foot Hood Range Systems (Clean)</t>
  </si>
  <si>
    <t>1. Hospital for Chronically Ill (140 ft)</t>
  </si>
  <si>
    <t>Hoods - Semi Annual</t>
  </si>
  <si>
    <t xml:space="preserve">    c.  MHU (4 ft)</t>
  </si>
  <si>
    <t xml:space="preserve">    b.  SHU (4 ft)</t>
  </si>
  <si>
    <t>2. Morris Comm. Correctional Center (20 ft)</t>
  </si>
  <si>
    <t>3. Howard Young Correctional Institution (96 ft)</t>
  </si>
  <si>
    <t>4. Sussex Correctional Institute (96)</t>
  </si>
  <si>
    <t>5. Sussex Comm. Corrections (96 ft)</t>
  </si>
  <si>
    <t>6. Delores J. Baylor Womens Correctional Inst. (60 ft)</t>
  </si>
  <si>
    <t>7. John L. Webb Correctional Facility (10 ft)</t>
  </si>
  <si>
    <t>8. Plummer Comm. Correctional Center (14 ft)</t>
  </si>
  <si>
    <t>PYLE STATE SERVICE CENTER (20 ft)</t>
  </si>
  <si>
    <t>DE PSYCHIATRIC CTR KITCHEN BLDG 306 (146 ft)</t>
  </si>
  <si>
    <t xml:space="preserve">CARVEL BLDG. - WEEKENDS ONLY </t>
  </si>
  <si>
    <t xml:space="preserve"> </t>
  </si>
  <si>
    <t>Sprinkler System Pricing</t>
  </si>
  <si>
    <t>Quarterly Test/Insp</t>
  </si>
  <si>
    <t>Annual Test/Insp</t>
  </si>
  <si>
    <t>3 Year Dry Test</t>
  </si>
  <si>
    <t>5 yr Riser Test (per unit)</t>
  </si>
  <si>
    <t>Semi-Annual Test/Insp</t>
  </si>
  <si>
    <t>Fire Alarm Pricing</t>
  </si>
  <si>
    <t>Backflow (each)</t>
  </si>
  <si>
    <t xml:space="preserve"> Annual</t>
  </si>
  <si>
    <t xml:space="preserve">          Hoods</t>
  </si>
  <si>
    <t>DSP TROOP #7</t>
  </si>
  <si>
    <t>Vendor Name: Hoopes Fire Protection</t>
  </si>
  <si>
    <t>Vendor Name: Anaconda Protective Concepts, Inc.</t>
  </si>
  <si>
    <t>Vendor Name: Johnson Controls Inc.</t>
  </si>
  <si>
    <t>Vendor Name: Anaconda Protective Concepts Inc.</t>
  </si>
  <si>
    <t>Vendor Name:Anaconda Protective Concepts Inc.</t>
  </si>
  <si>
    <t>Vendor Name:Hoopes Protective Concepts Inc.</t>
  </si>
  <si>
    <t>Robert Seal</t>
  </si>
  <si>
    <t>Eric Buckingham</t>
  </si>
  <si>
    <t>Jameson Eveland</t>
  </si>
  <si>
    <t>Antonio Iocco</t>
  </si>
  <si>
    <t>Brian Wilkinson</t>
  </si>
  <si>
    <t>Chris Broadway</t>
  </si>
  <si>
    <t>William McKenney</t>
  </si>
  <si>
    <t>Richard Thomas</t>
  </si>
  <si>
    <t>John Hoopengardener</t>
  </si>
  <si>
    <t>N/A</t>
  </si>
  <si>
    <t>Anaconda can offer (12)fire extinguisher training classes per year</t>
  </si>
  <si>
    <t>Anaconda can offer (12) sprinkler system training sessions per year for facility staff</t>
  </si>
  <si>
    <t>Anaconda also provides CCTV, card acess &amp; security</t>
  </si>
  <si>
    <t xml:space="preserve">  </t>
  </si>
  <si>
    <t>Fire Extinguisher Training</t>
  </si>
  <si>
    <t>Exit &amp; Emergency Light Inspection</t>
  </si>
  <si>
    <t>Special Hazard Systems</t>
  </si>
  <si>
    <t>George Staker, Ryan Milnor</t>
  </si>
  <si>
    <t>Jim Bondurant, Chad Cohee</t>
  </si>
  <si>
    <t>Brent Cohee, Tom Drews</t>
  </si>
  <si>
    <t>Ted White, Chuck Edwards</t>
  </si>
  <si>
    <t>3.75 /lb</t>
  </si>
  <si>
    <t>30.0 /gal</t>
  </si>
  <si>
    <t>3.00 /lb</t>
  </si>
  <si>
    <t>Anaconda</t>
  </si>
  <si>
    <t>Hoopes</t>
  </si>
  <si>
    <t>Johnson Controls</t>
  </si>
  <si>
    <t>Total Pricing Items</t>
  </si>
  <si>
    <t>Not Bid</t>
  </si>
  <si>
    <t>Bid</t>
  </si>
  <si>
    <t>Johnson</t>
  </si>
  <si>
    <t>NCC Hoods</t>
  </si>
  <si>
    <t>SC Hoods</t>
  </si>
  <si>
    <t>Hospitals Hoods</t>
  </si>
  <si>
    <t>DOC Hoods</t>
  </si>
  <si>
    <t>HOOD CLEAN BY FOOT ITEM BID COUNT</t>
  </si>
  <si>
    <t>HOOD INSPECTED ITEM BID COUNT</t>
  </si>
  <si>
    <t xml:space="preserve">               CONTRACT GSS21259-FIRE_SUPPR</t>
  </si>
  <si>
    <t>FIRE SUPPRESSION SERVICES, INSPECTION &amp; TESTING</t>
  </si>
  <si>
    <t>Anaconda Protective Concepts, Inc.</t>
  </si>
  <si>
    <t>210 Executive Drive - Suite 6</t>
  </si>
  <si>
    <t>Newark, DE 19702</t>
  </si>
  <si>
    <t>302-834-1125 or 302-832-1159 (fax)</t>
  </si>
  <si>
    <t>Contact - Kim Parisi</t>
  </si>
  <si>
    <t>kim.parisi@anacondaprotectiveconcepts.com</t>
  </si>
  <si>
    <t>Hoopes Fire Prevention, Inc.</t>
  </si>
  <si>
    <t>124 Sandy Drive</t>
  </si>
  <si>
    <t>Newark, DE 19713</t>
  </si>
  <si>
    <t>302-323-0220; 410-398-4262 or 302-323-1190 (fax)</t>
  </si>
  <si>
    <t>Contact - Jessica Eastburn</t>
  </si>
  <si>
    <t>jessica.eastburn@hoopesfp.com</t>
  </si>
  <si>
    <t>Johnson Controls, Inc.</t>
  </si>
  <si>
    <t>18 Boulden Cir</t>
  </si>
  <si>
    <t>New Castle, DE 19720</t>
  </si>
  <si>
    <t>302-229-3543 or 302-328-5184</t>
  </si>
  <si>
    <t>Contact - Chuck Shearer</t>
  </si>
  <si>
    <t>chuck.shearer@jci.com</t>
  </si>
  <si>
    <t>Approved Technicians</t>
  </si>
  <si>
    <t>John Hoppengardner</t>
  </si>
  <si>
    <t>Alexander Wood</t>
  </si>
  <si>
    <t>Andrew Lochonic</t>
  </si>
  <si>
    <t>Austin Snyder</t>
  </si>
  <si>
    <t>Bob White</t>
  </si>
  <si>
    <t>Brian Ritter</t>
  </si>
  <si>
    <t>Brian Snead</t>
  </si>
  <si>
    <t>Brion Lochonic</t>
  </si>
  <si>
    <t>Chad Gravenor</t>
  </si>
  <si>
    <t>Chris Benedetto</t>
  </si>
  <si>
    <t>Clinton Kuhl, Jr</t>
  </si>
  <si>
    <t>Clinton Kuhl, Sr</t>
  </si>
  <si>
    <t>Cody Steever</t>
  </si>
  <si>
    <t>Eric Bailey</t>
  </si>
  <si>
    <t>Francisco Rivera</t>
  </si>
  <si>
    <t>Frederick Hill</t>
  </si>
  <si>
    <t>James Glenn</t>
  </si>
  <si>
    <t>Jeff Lucas</t>
  </si>
  <si>
    <t>Jimmy Queen</t>
  </si>
  <si>
    <t>Joe Glenn</t>
  </si>
  <si>
    <t>Joseph Krieger</t>
  </si>
  <si>
    <t>Josh Jones</t>
  </si>
  <si>
    <t>Keith Quesenberry</t>
  </si>
  <si>
    <t>Kevin McCarthy</t>
  </si>
  <si>
    <t>Lin Passwater</t>
  </si>
  <si>
    <t>Marc Crabb</t>
  </si>
  <si>
    <t>Mark Camarote</t>
  </si>
  <si>
    <t>Ryan Wood</t>
  </si>
  <si>
    <t>Shawn Mullen</t>
  </si>
  <si>
    <t>Wade McNatt</t>
  </si>
  <si>
    <t>Wayne Hayes</t>
  </si>
  <si>
    <t>William King</t>
  </si>
  <si>
    <t>George Staker</t>
  </si>
  <si>
    <t>Ryan Milnor</t>
  </si>
  <si>
    <t>Jim Bondurant</t>
  </si>
  <si>
    <t>Chad Cohee</t>
  </si>
  <si>
    <t>Brent Cohee</t>
  </si>
  <si>
    <t>Tom Drews</t>
  </si>
  <si>
    <t>Ted White</t>
  </si>
  <si>
    <t>Chuck Edwards</t>
  </si>
  <si>
    <t>Address: 210 Executive Drive - Suite 6</t>
  </si>
  <si>
    <t>City:   Newark                             State:   DE           Zip: 19702</t>
  </si>
  <si>
    <t>Contact: Kim Parisi</t>
  </si>
  <si>
    <t>Phone: 302-834-1125 or 302-383-1860 (cell)</t>
  </si>
  <si>
    <t>Email:  kim.parisi@anacondaprotectiveconcepts.com</t>
  </si>
  <si>
    <t xml:space="preserve">City:   Newark                State:    DE          Zip:  19702                </t>
  </si>
  <si>
    <t>Email: kim.parisi@anacondaprotectiveconcepts.com</t>
  </si>
  <si>
    <t xml:space="preserve">City:   Newark                                         State:    DE          Zip:  19702               </t>
  </si>
  <si>
    <t>Address: 124 Sandy Drive</t>
  </si>
  <si>
    <t>City:  Newark                                   State:   DE           Zip: 19713</t>
  </si>
  <si>
    <t>Contact: Jessica Eastburn</t>
  </si>
  <si>
    <t>Phone: 302-323-0220 or 302-690-5607 (cell)</t>
  </si>
  <si>
    <t>Email: jessica.eastburn@hoopesfp.com</t>
  </si>
  <si>
    <t>Address:  124 Sandy Drive</t>
  </si>
  <si>
    <t xml:space="preserve">City:   Newark                                      State:  DE            Zip:    19713              </t>
  </si>
  <si>
    <t>Contact:  Jessica Eastburn</t>
  </si>
  <si>
    <t>Email:  jessica.eastburn@hoopesfp.com</t>
  </si>
  <si>
    <t>Vendor Name: Hoopes Fire Protection, Inc.</t>
  </si>
  <si>
    <t>Vendor Name: Johnson Controls, Inc.</t>
  </si>
  <si>
    <t>Address: 18 Boulden Cir</t>
  </si>
  <si>
    <t>City:  New Castle                            State:  DE            Zip: 19720</t>
  </si>
  <si>
    <t>Contact: Chuck Shearer</t>
  </si>
  <si>
    <t>Phone: 302-229-3543 (cell)</t>
  </si>
  <si>
    <t>Email: chuck.shearer@jci.com</t>
  </si>
  <si>
    <t>City:  New Castle              State:  DE            Zip: 19720</t>
  </si>
  <si>
    <t>Address: 210 Executive Drive, Suite 6</t>
  </si>
  <si>
    <t>Vendor Name:  Anaconda Protective Concepts</t>
  </si>
  <si>
    <t>Vendor Name: Johnson Controls Inc</t>
  </si>
  <si>
    <t>Address:  210 Executive Drive - Suite 6</t>
  </si>
  <si>
    <t xml:space="preserve">City:       Newark                                     State:   DE           Zip:     19702             </t>
  </si>
  <si>
    <t xml:space="preserve">City:           Newark                                 State:    DE          Zip:        19713          </t>
  </si>
  <si>
    <t xml:space="preserve">City: New Castle                                        State: DE            Zip: 19720                      </t>
  </si>
  <si>
    <t>Contact:  Kimberly Parisi</t>
  </si>
  <si>
    <t>Phone: 302-834-1125</t>
  </si>
  <si>
    <t>Phone: 302-229-3543</t>
  </si>
  <si>
    <t>Delaware Transit</t>
  </si>
  <si>
    <t>DELAWARE TRANSIT</t>
  </si>
  <si>
    <t>Vendor Name: Anaconda Protective Concepts</t>
  </si>
  <si>
    <t>Vendor Name:  Hoopes Fire Protections, Inc.</t>
  </si>
  <si>
    <t>Vendor Name:  Johnson Controls Inc.</t>
  </si>
  <si>
    <t>Address:  18 Boulden Cir</t>
  </si>
  <si>
    <t>New Castle, Kent &amp; Sussex County</t>
  </si>
  <si>
    <t>City:     Newark                       State:    DE        Zip: 19702</t>
  </si>
  <si>
    <t>City:           Newark                          State:     DE         Zip: 19713</t>
  </si>
  <si>
    <t>City:       New Castle                              State:     DE         Zip:  19720</t>
  </si>
  <si>
    <t>Delaware Transit Corporation</t>
  </si>
  <si>
    <t>Contact: Kimberly Parisi</t>
  </si>
  <si>
    <t>Contact:   Chuck Shearer</t>
  </si>
  <si>
    <t>Phone:    302-229-3543</t>
  </si>
  <si>
    <t>Email: kim.parisi@anacondaprotectiveconcpets.com</t>
  </si>
  <si>
    <t>MONTHLY MONITORING</t>
  </si>
  <si>
    <t>MONROE STREET OPERATIONS FACILITY (DART 1)</t>
  </si>
  <si>
    <t>BODY SHOP (DART 2)</t>
  </si>
  <si>
    <t>PARA TRANSIT OPERATIONS (DART 3)</t>
  </si>
  <si>
    <t>ADMINISTRATION BUILDING COMPLEX-BUILDING 16</t>
  </si>
  <si>
    <t>PARA TRANSIT OPERATIONS BUILDING 15</t>
  </si>
  <si>
    <t>FUEL ISLAND FIRE SUPPRESSION SYSTEM PARA TRANSIT FUELING</t>
  </si>
  <si>
    <t xml:space="preserve">BEECH STREET NEW FIRE PUMP </t>
  </si>
  <si>
    <t>MID COUNTY OPERATIONS CENTER</t>
  </si>
  <si>
    <t>NEWARK RAIL REGIONAL TRANSPORTATION CENTER</t>
  </si>
  <si>
    <t>DOVER OPERATIONS FACILITY</t>
  </si>
  <si>
    <t>GEORGETOWN OPERATIONS FACILITY</t>
  </si>
  <si>
    <t>REHOBOTH RESORT PARK &amp; RIDE</t>
  </si>
  <si>
    <t>LEWES TRANSIT OPERATIONS CENTER</t>
  </si>
  <si>
    <t>DELAWARE DEVELOPMENT OFFICE</t>
  </si>
  <si>
    <t>RICHARDSON ROBBINS BLDG</t>
  </si>
  <si>
    <t>CUSTOMS HOUSE</t>
  </si>
  <si>
    <t>MEDICAL EXAMINER ANNEX</t>
  </si>
  <si>
    <t>CHIEF MEDICAL EXAMINER/FORENSIC SCIENCE BLDG</t>
  </si>
  <si>
    <t>ELECTIONS BLDG</t>
  </si>
  <si>
    <t>ELECTIONS WHSE</t>
  </si>
  <si>
    <t>FAMILY COURT-GEORGETOWN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</si>
</sst>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General_)"/>
    <numFmt numFmtId="165" formatCode="0.00;[Red]0.00"/>
  </numFmts>
  <fonts count="33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0"/>
      <name val="Courier"/>
      <family val="3"/>
    </font>
    <font>
      <u/>
      <sz val="11"/>
      <name val="Arial"/>
      <family val="2"/>
    </font>
    <font>
      <b/>
      <u/>
      <sz val="11"/>
      <color indexed="10"/>
      <name val="Arial"/>
      <family val="2"/>
    </font>
    <font>
      <b/>
      <sz val="11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0"/>
      <name val="Courier"/>
      <family val="3"/>
    </font>
    <font>
      <b/>
      <u/>
      <sz val="10"/>
      <name val="Arial"/>
      <family val="2"/>
    </font>
    <font>
      <b/>
      <sz val="10"/>
      <name val="Courie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u/>
      <sz val="10"/>
      <color theme="10"/>
      <name val="Courier"/>
    </font>
    <font>
      <u/>
      <sz val="10"/>
      <color theme="10"/>
      <name val="Arial"/>
      <family val="2"/>
    </font>
    <font>
      <sz val="10"/>
      <name val="Courier"/>
    </font>
    <font>
      <sz val="10"/>
      <color rgb="FFFF0000"/>
      <name val="Courier"/>
      <family val="3"/>
    </font>
    <font>
      <sz val="10"/>
      <color rgb="FFFF0000"/>
      <name val="Courier"/>
    </font>
    <font>
      <sz val="11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8">
    <xf numFmtId="164" fontId="0" fillId="0" borderId="0"/>
    <xf numFmtId="0" fontId="23" fillId="0" borderId="0"/>
    <xf numFmtId="0" fontId="8" fillId="0" borderId="0"/>
    <xf numFmtId="0" fontId="5" fillId="0" borderId="0"/>
    <xf numFmtId="164" fontId="27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0" fontId="2" fillId="0" borderId="0"/>
    <xf numFmtId="0" fontId="1" fillId="0" borderId="0"/>
  </cellStyleXfs>
  <cellXfs count="267">
    <xf numFmtId="164" fontId="0" fillId="0" borderId="0" xfId="0"/>
    <xf numFmtId="164" fontId="0" fillId="0" borderId="1" xfId="0" applyBorder="1"/>
    <xf numFmtId="164" fontId="9" fillId="0" borderId="0" xfId="0" applyFont="1" applyAlignment="1">
      <alignment wrapText="1"/>
    </xf>
    <xf numFmtId="164" fontId="9" fillId="0" borderId="0" xfId="0" applyFont="1"/>
    <xf numFmtId="164" fontId="11" fillId="0" borderId="0" xfId="0" applyFont="1" applyAlignment="1">
      <alignment horizontal="center"/>
    </xf>
    <xf numFmtId="164" fontId="12" fillId="0" borderId="0" xfId="0" applyFont="1"/>
    <xf numFmtId="164" fontId="13" fillId="0" borderId="0" xfId="0" applyFont="1" applyAlignment="1">
      <alignment horizontal="center"/>
    </xf>
    <xf numFmtId="164" fontId="0" fillId="2" borderId="1" xfId="0" applyFill="1" applyBorder="1"/>
    <xf numFmtId="164" fontId="10" fillId="0" borderId="0" xfId="0" applyFont="1" applyAlignment="1">
      <alignment horizontal="center"/>
    </xf>
    <xf numFmtId="164" fontId="14" fillId="0" borderId="0" xfId="0" applyFont="1" applyAlignment="1">
      <alignment horizontal="center"/>
    </xf>
    <xf numFmtId="164" fontId="11" fillId="0" borderId="0" xfId="0" applyFont="1"/>
    <xf numFmtId="164" fontId="12" fillId="0" borderId="0" xfId="0" applyFont="1" applyFill="1" applyBorder="1"/>
    <xf numFmtId="164" fontId="11" fillId="0" borderId="0" xfId="0" applyFont="1" applyAlignment="1">
      <alignment horizontal="center" wrapText="1"/>
    </xf>
    <xf numFmtId="164" fontId="15" fillId="0" borderId="0" xfId="0" applyFont="1" applyAlignment="1">
      <alignment horizontal="center"/>
    </xf>
    <xf numFmtId="164" fontId="17" fillId="0" borderId="0" xfId="0" applyFont="1"/>
    <xf numFmtId="164" fontId="12" fillId="6" borderId="1" xfId="0" applyFont="1" applyFill="1" applyBorder="1"/>
    <xf numFmtId="0" fontId="0" fillId="0" borderId="0" xfId="0" applyNumberFormat="1"/>
    <xf numFmtId="0" fontId="18" fillId="0" borderId="0" xfId="0" applyNumberFormat="1" applyFont="1" applyFill="1" applyBorder="1" applyAlignment="1">
      <alignment horizontal="left" wrapText="1"/>
    </xf>
    <xf numFmtId="0" fontId="0" fillId="0" borderId="0" xfId="0" applyNumberFormat="1" applyAlignment="1">
      <alignment horizontal="left"/>
    </xf>
    <xf numFmtId="0" fontId="19" fillId="0" borderId="2" xfId="0" applyNumberFormat="1" applyFont="1" applyBorder="1" applyAlignment="1">
      <alignment wrapText="1"/>
    </xf>
    <xf numFmtId="0" fontId="19" fillId="0" borderId="2" xfId="0" applyNumberFormat="1" applyFont="1" applyBorder="1" applyAlignment="1">
      <alignment horizontal="center" wrapText="1"/>
    </xf>
    <xf numFmtId="0" fontId="19" fillId="0" borderId="3" xfId="0" applyNumberFormat="1" applyFont="1" applyBorder="1" applyAlignment="1">
      <alignment horizontal="center" wrapText="1"/>
    </xf>
    <xf numFmtId="164" fontId="20" fillId="0" borderId="0" xfId="0" applyFont="1"/>
    <xf numFmtId="0" fontId="19" fillId="0" borderId="3" xfId="0" applyNumberFormat="1" applyFont="1" applyBorder="1" applyAlignment="1">
      <alignment wrapText="1"/>
    </xf>
    <xf numFmtId="0" fontId="9" fillId="3" borderId="4" xfId="0" applyNumberFormat="1" applyFont="1" applyFill="1" applyBorder="1" applyAlignment="1">
      <alignment horizontal="left" vertical="top" wrapText="1"/>
    </xf>
    <xf numFmtId="0" fontId="9" fillId="3" borderId="3" xfId="0" applyNumberFormat="1" applyFont="1" applyFill="1" applyBorder="1" applyAlignment="1">
      <alignment horizontal="left" vertical="top" wrapText="1"/>
    </xf>
    <xf numFmtId="0" fontId="9" fillId="3" borderId="5" xfId="0" applyNumberFormat="1" applyFont="1" applyFill="1" applyBorder="1" applyAlignment="1">
      <alignment horizontal="left" vertical="top" wrapText="1"/>
    </xf>
    <xf numFmtId="0" fontId="9" fillId="4" borderId="4" xfId="0" applyNumberFormat="1" applyFont="1" applyFill="1" applyBorder="1" applyAlignment="1">
      <alignment horizontal="left" vertical="top" wrapText="1"/>
    </xf>
    <xf numFmtId="0" fontId="9" fillId="4" borderId="6" xfId="0" applyNumberFormat="1" applyFont="1" applyFill="1" applyBorder="1" applyAlignment="1">
      <alignment horizontal="left" vertical="top" wrapText="1"/>
    </xf>
    <xf numFmtId="0" fontId="9" fillId="4" borderId="5" xfId="0" applyNumberFormat="1" applyFont="1" applyFill="1" applyBorder="1" applyAlignment="1">
      <alignment horizontal="left" vertical="top" wrapText="1"/>
    </xf>
    <xf numFmtId="0" fontId="9" fillId="4" borderId="3" xfId="0" applyNumberFormat="1" applyFont="1" applyFill="1" applyBorder="1" applyAlignment="1">
      <alignment horizontal="left" vertical="top" wrapText="1"/>
    </xf>
    <xf numFmtId="49" fontId="9" fillId="3" borderId="5" xfId="0" applyNumberFormat="1" applyFont="1" applyFill="1" applyBorder="1" applyAlignment="1">
      <alignment horizontal="left" wrapText="1"/>
    </xf>
    <xf numFmtId="0" fontId="9" fillId="3" borderId="5" xfId="0" applyNumberFormat="1" applyFont="1" applyFill="1" applyBorder="1" applyAlignment="1">
      <alignment horizontal="left"/>
    </xf>
    <xf numFmtId="0" fontId="9" fillId="3" borderId="5" xfId="0" applyNumberFormat="1" applyFont="1" applyFill="1" applyBorder="1" applyAlignment="1">
      <alignment horizontal="left" wrapText="1"/>
    </xf>
    <xf numFmtId="0" fontId="9" fillId="7" borderId="5" xfId="0" applyNumberFormat="1" applyFont="1" applyFill="1" applyBorder="1" applyAlignment="1">
      <alignment horizontal="left" wrapText="1"/>
    </xf>
    <xf numFmtId="0" fontId="9" fillId="7" borderId="5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left" wrapText="1"/>
    </xf>
    <xf numFmtId="164" fontId="0" fillId="0" borderId="0" xfId="0" applyFill="1"/>
    <xf numFmtId="0" fontId="9" fillId="8" borderId="1" xfId="0" applyNumberFormat="1" applyFont="1" applyFill="1" applyBorder="1" applyAlignment="1">
      <alignment vertical="top" wrapText="1"/>
    </xf>
    <xf numFmtId="49" fontId="9" fillId="8" borderId="1" xfId="0" applyNumberFormat="1" applyFont="1" applyFill="1" applyBorder="1" applyAlignment="1">
      <alignment wrapText="1"/>
    </xf>
    <xf numFmtId="49" fontId="9" fillId="8" borderId="1" xfId="0" applyNumberFormat="1" applyFont="1" applyFill="1" applyBorder="1" applyAlignment="1">
      <alignment horizontal="left" vertical="top" wrapText="1"/>
    </xf>
    <xf numFmtId="0" fontId="9" fillId="8" borderId="1" xfId="0" applyNumberFormat="1" applyFont="1" applyFill="1" applyBorder="1" applyAlignment="1">
      <alignment horizontal="left" wrapText="1"/>
    </xf>
    <xf numFmtId="0" fontId="9" fillId="8" borderId="1" xfId="0" applyNumberFormat="1" applyFont="1" applyFill="1" applyBorder="1" applyAlignment="1">
      <alignment wrapText="1"/>
    </xf>
    <xf numFmtId="0" fontId="9" fillId="8" borderId="1" xfId="0" applyNumberFormat="1" applyFont="1" applyFill="1" applyBorder="1"/>
    <xf numFmtId="0" fontId="9" fillId="5" borderId="5" xfId="0" applyNumberFormat="1" applyFont="1" applyFill="1" applyBorder="1" applyAlignment="1">
      <alignment vertical="top" wrapText="1"/>
    </xf>
    <xf numFmtId="0" fontId="9" fillId="5" borderId="4" xfId="0" applyNumberFormat="1" applyFont="1" applyFill="1" applyBorder="1" applyAlignment="1">
      <alignment vertical="top" wrapText="1"/>
    </xf>
    <xf numFmtId="49" fontId="9" fillId="5" borderId="7" xfId="0" applyNumberFormat="1" applyFont="1" applyFill="1" applyBorder="1" applyAlignment="1">
      <alignment wrapText="1"/>
    </xf>
    <xf numFmtId="0" fontId="19" fillId="0" borderId="1" xfId="0" applyNumberFormat="1" applyFont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 wrapText="1"/>
    </xf>
    <xf numFmtId="164" fontId="16" fillId="0" borderId="1" xfId="0" applyFont="1" applyBorder="1"/>
    <xf numFmtId="164" fontId="16" fillId="0" borderId="1" xfId="0" applyFont="1" applyBorder="1" applyAlignment="1">
      <alignment horizontal="center"/>
    </xf>
    <xf numFmtId="0" fontId="23" fillId="0" borderId="0" xfId="1"/>
    <xf numFmtId="0" fontId="23" fillId="0" borderId="1" xfId="1" applyBorder="1"/>
    <xf numFmtId="0" fontId="23" fillId="0" borderId="1" xfId="1" applyBorder="1" applyAlignment="1">
      <alignment wrapText="1"/>
    </xf>
    <xf numFmtId="0" fontId="26" fillId="0" borderId="0" xfId="1" applyFont="1" applyAlignment="1">
      <alignment horizontal="center"/>
    </xf>
    <xf numFmtId="0" fontId="24" fillId="0" borderId="0" xfId="1" applyFont="1"/>
    <xf numFmtId="0" fontId="24" fillId="0" borderId="0" xfId="1" applyFont="1" applyAlignment="1">
      <alignment horizontal="center"/>
    </xf>
    <xf numFmtId="0" fontId="24" fillId="0" borderId="1" xfId="1" applyFont="1" applyBorder="1"/>
    <xf numFmtId="0" fontId="24" fillId="0" borderId="1" xfId="1" applyFont="1" applyBorder="1" applyAlignment="1">
      <alignment horizontal="center"/>
    </xf>
    <xf numFmtId="0" fontId="23" fillId="0" borderId="8" xfId="1" applyBorder="1"/>
    <xf numFmtId="0" fontId="24" fillId="0" borderId="1" xfId="1" applyFont="1" applyBorder="1" applyAlignment="1">
      <alignment wrapText="1"/>
    </xf>
    <xf numFmtId="0" fontId="23" fillId="0" borderId="1" xfId="1" applyBorder="1" applyAlignment="1">
      <alignment horizontal="left"/>
    </xf>
    <xf numFmtId="0" fontId="23" fillId="0" borderId="1" xfId="1" applyBorder="1" applyAlignment="1">
      <alignment horizontal="left" wrapText="1"/>
    </xf>
    <xf numFmtId="0" fontId="23" fillId="6" borderId="9" xfId="1" applyFill="1" applyBorder="1"/>
    <xf numFmtId="0" fontId="23" fillId="6" borderId="1" xfId="1" applyFill="1" applyBorder="1"/>
    <xf numFmtId="0" fontId="23" fillId="6" borderId="1" xfId="1" applyFill="1" applyBorder="1" applyAlignment="1">
      <alignment horizontal="left"/>
    </xf>
    <xf numFmtId="0" fontId="23" fillId="0" borderId="0" xfId="1" applyBorder="1" applyAlignment="1">
      <alignment wrapText="1"/>
    </xf>
    <xf numFmtId="0" fontId="25" fillId="0" borderId="0" xfId="1" applyFont="1" applyBorder="1" applyAlignment="1">
      <alignment horizontal="center" wrapText="1"/>
    </xf>
    <xf numFmtId="0" fontId="9" fillId="7" borderId="1" xfId="0" applyNumberFormat="1" applyFont="1" applyFill="1" applyBorder="1" applyAlignment="1">
      <alignment horizontal="left" wrapText="1"/>
    </xf>
    <xf numFmtId="164" fontId="20" fillId="0" borderId="10" xfId="0" applyFont="1" applyBorder="1"/>
    <xf numFmtId="49" fontId="20" fillId="0" borderId="0" xfId="0" applyNumberFormat="1" applyFont="1"/>
    <xf numFmtId="49" fontId="19" fillId="0" borderId="0" xfId="0" applyNumberFormat="1" applyFont="1" applyBorder="1" applyAlignment="1">
      <alignment horizontal="center" wrapText="1"/>
    </xf>
    <xf numFmtId="49" fontId="0" fillId="0" borderId="0" xfId="0" applyNumberFormat="1"/>
    <xf numFmtId="164" fontId="21" fillId="11" borderId="9" xfId="0" applyFont="1" applyFill="1" applyBorder="1" applyAlignment="1">
      <alignment horizontal="center" vertical="top" wrapText="1"/>
    </xf>
    <xf numFmtId="164" fontId="21" fillId="12" borderId="9" xfId="0" applyFont="1" applyFill="1" applyBorder="1" applyAlignment="1">
      <alignment horizontal="center" vertical="top" wrapText="1"/>
    </xf>
    <xf numFmtId="164" fontId="21" fillId="13" borderId="1" xfId="0" applyFont="1" applyFill="1" applyBorder="1" applyAlignment="1">
      <alignment horizontal="center" vertical="top" wrapText="1"/>
    </xf>
    <xf numFmtId="164" fontId="21" fillId="14" borderId="9" xfId="0" applyFont="1" applyFill="1" applyBorder="1" applyAlignment="1">
      <alignment horizontal="center" vertical="top" wrapText="1"/>
    </xf>
    <xf numFmtId="49" fontId="22" fillId="13" borderId="11" xfId="0" applyNumberFormat="1" applyFont="1" applyFill="1" applyBorder="1"/>
    <xf numFmtId="49" fontId="17" fillId="11" borderId="11" xfId="0" applyNumberFormat="1" applyFont="1" applyFill="1" applyBorder="1"/>
    <xf numFmtId="49" fontId="17" fillId="14" borderId="11" xfId="0" applyNumberFormat="1" applyFont="1" applyFill="1" applyBorder="1" applyAlignment="1">
      <alignment horizontal="center"/>
    </xf>
    <xf numFmtId="49" fontId="22" fillId="13" borderId="12" xfId="0" applyNumberFormat="1" applyFont="1" applyFill="1" applyBorder="1"/>
    <xf numFmtId="49" fontId="17" fillId="11" borderId="12" xfId="0" applyNumberFormat="1" applyFont="1" applyFill="1" applyBorder="1"/>
    <xf numFmtId="49" fontId="17" fillId="12" borderId="1" xfId="0" applyNumberFormat="1" applyFont="1" applyFill="1" applyBorder="1"/>
    <xf numFmtId="49" fontId="17" fillId="14" borderId="12" xfId="0" applyNumberFormat="1" applyFont="1" applyFill="1" applyBorder="1" applyAlignment="1">
      <alignment horizontal="center"/>
    </xf>
    <xf numFmtId="164" fontId="19" fillId="0" borderId="0" xfId="0" applyFont="1" applyAlignment="1">
      <alignment horizontal="center"/>
    </xf>
    <xf numFmtId="164" fontId="21" fillId="13" borderId="13" xfId="0" applyFont="1" applyFill="1" applyBorder="1" applyAlignment="1">
      <alignment horizontal="center" vertical="top" wrapText="1"/>
    </xf>
    <xf numFmtId="164" fontId="21" fillId="13" borderId="9" xfId="0" applyFont="1" applyFill="1" applyBorder="1" applyAlignment="1">
      <alignment horizontal="center" vertical="top" wrapText="1"/>
    </xf>
    <xf numFmtId="164" fontId="21" fillId="13" borderId="13" xfId="0" applyFont="1" applyFill="1" applyBorder="1" applyAlignment="1">
      <alignment horizontal="center" wrapText="1"/>
    </xf>
    <xf numFmtId="164" fontId="21" fillId="13" borderId="9" xfId="0" applyFont="1" applyFill="1" applyBorder="1" applyAlignment="1">
      <alignment horizontal="center" wrapText="1"/>
    </xf>
    <xf numFmtId="164" fontId="11" fillId="0" borderId="0" xfId="0" applyFont="1" applyAlignment="1">
      <alignment horizontal="center" vertical="top"/>
    </xf>
    <xf numFmtId="49" fontId="22" fillId="13" borderId="5" xfId="0" applyNumberFormat="1" applyFont="1" applyFill="1" applyBorder="1"/>
    <xf numFmtId="49" fontId="17" fillId="11" borderId="11" xfId="0" applyNumberFormat="1" applyFont="1" applyFill="1" applyBorder="1" applyAlignment="1">
      <alignment horizontal="left" indent="1"/>
    </xf>
    <xf numFmtId="49" fontId="17" fillId="14" borderId="11" xfId="0" applyNumberFormat="1" applyFont="1" applyFill="1" applyBorder="1" applyAlignment="1">
      <alignment horizontal="right"/>
    </xf>
    <xf numFmtId="49" fontId="17" fillId="13" borderId="11" xfId="0" applyNumberFormat="1" applyFont="1" applyFill="1" applyBorder="1" applyAlignment="1">
      <alignment horizontal="center"/>
    </xf>
    <xf numFmtId="0" fontId="9" fillId="9" borderId="1" xfId="2" applyFont="1" applyFill="1" applyBorder="1" applyAlignment="1">
      <alignment wrapText="1"/>
    </xf>
    <xf numFmtId="2" fontId="0" fillId="6" borderId="1" xfId="0" applyNumberFormat="1" applyFill="1" applyBorder="1"/>
    <xf numFmtId="2" fontId="0" fillId="0" borderId="1" xfId="0" applyNumberFormat="1" applyBorder="1"/>
    <xf numFmtId="2" fontId="0" fillId="0" borderId="0" xfId="0" applyNumberFormat="1"/>
    <xf numFmtId="2" fontId="22" fillId="13" borderId="11" xfId="0" applyNumberFormat="1" applyFont="1" applyFill="1" applyBorder="1"/>
    <xf numFmtId="2" fontId="17" fillId="13" borderId="11" xfId="0" applyNumberFormat="1" applyFont="1" applyFill="1" applyBorder="1" applyAlignment="1">
      <alignment horizontal="center"/>
    </xf>
    <xf numFmtId="2" fontId="22" fillId="13" borderId="12" xfId="0" applyNumberFormat="1" applyFont="1" applyFill="1" applyBorder="1"/>
    <xf numFmtId="2" fontId="17" fillId="11" borderId="11" xfId="0" applyNumberFormat="1" applyFont="1" applyFill="1" applyBorder="1" applyAlignment="1">
      <alignment horizontal="left" indent="1"/>
    </xf>
    <xf numFmtId="2" fontId="17" fillId="11" borderId="12" xfId="0" applyNumberFormat="1" applyFont="1" applyFill="1" applyBorder="1"/>
    <xf numFmtId="2" fontId="21" fillId="13" borderId="13" xfId="0" applyNumberFormat="1" applyFont="1" applyFill="1" applyBorder="1" applyAlignment="1">
      <alignment horizontal="center" wrapText="1"/>
    </xf>
    <xf numFmtId="2" fontId="21" fillId="13" borderId="9" xfId="0" applyNumberFormat="1" applyFont="1" applyFill="1" applyBorder="1" applyAlignment="1">
      <alignment horizontal="center" wrapText="1"/>
    </xf>
    <xf numFmtId="2" fontId="21" fillId="13" borderId="1" xfId="0" applyNumberFormat="1" applyFont="1" applyFill="1" applyBorder="1" applyAlignment="1">
      <alignment horizontal="center" vertical="top" wrapText="1"/>
    </xf>
    <xf numFmtId="2" fontId="21" fillId="11" borderId="9" xfId="0" applyNumberFormat="1" applyFont="1" applyFill="1" applyBorder="1" applyAlignment="1">
      <alignment horizontal="center" vertical="top" wrapText="1"/>
    </xf>
    <xf numFmtId="2" fontId="11" fillId="0" borderId="0" xfId="0" applyNumberFormat="1" applyFont="1" applyAlignment="1">
      <alignment horizontal="center"/>
    </xf>
    <xf numFmtId="2" fontId="11" fillId="0" borderId="0" xfId="0" applyNumberFormat="1" applyFont="1"/>
    <xf numFmtId="2" fontId="12" fillId="2" borderId="1" xfId="0" applyNumberFormat="1" applyFont="1" applyFill="1" applyBorder="1"/>
    <xf numFmtId="2" fontId="12" fillId="0" borderId="0" xfId="0" applyNumberFormat="1" applyFont="1"/>
    <xf numFmtId="2" fontId="12" fillId="6" borderId="1" xfId="0" applyNumberFormat="1" applyFont="1" applyFill="1" applyBorder="1"/>
    <xf numFmtId="2" fontId="23" fillId="6" borderId="9" xfId="1" applyNumberFormat="1" applyFill="1" applyBorder="1"/>
    <xf numFmtId="2" fontId="23" fillId="6" borderId="1" xfId="1" applyNumberFormat="1" applyFill="1" applyBorder="1"/>
    <xf numFmtId="2" fontId="0" fillId="6" borderId="1" xfId="0" applyNumberFormat="1" applyFill="1" applyBorder="1" applyAlignment="1">
      <alignment horizontal="right"/>
    </xf>
    <xf numFmtId="2" fontId="12" fillId="2" borderId="1" xfId="0" applyNumberFormat="1" applyFont="1" applyFill="1" applyBorder="1" applyAlignment="1">
      <alignment horizontal="right"/>
    </xf>
    <xf numFmtId="164" fontId="0" fillId="0" borderId="0" xfId="0" applyAlignment="1">
      <alignment horizontal="right"/>
    </xf>
    <xf numFmtId="2" fontId="0" fillId="0" borderId="1" xfId="0" applyNumberFormat="1" applyBorder="1" applyAlignment="1">
      <alignment horizontal="right"/>
    </xf>
    <xf numFmtId="164" fontId="0" fillId="0" borderId="14" xfId="0" applyBorder="1" applyAlignment="1">
      <alignment horizontal="right"/>
    </xf>
    <xf numFmtId="164" fontId="0" fillId="0" borderId="0" xfId="0" applyBorder="1" applyAlignment="1">
      <alignment horizontal="right"/>
    </xf>
    <xf numFmtId="165" fontId="0" fillId="2" borderId="1" xfId="0" applyNumberFormat="1" applyFill="1" applyBorder="1"/>
    <xf numFmtId="165" fontId="0" fillId="6" borderId="1" xfId="0" applyNumberFormat="1" applyFill="1" applyBorder="1"/>
    <xf numFmtId="2" fontId="0" fillId="6" borderId="1" xfId="0" applyNumberFormat="1" applyFill="1" applyBorder="1" applyAlignment="1">
      <alignment horizontal="right"/>
    </xf>
    <xf numFmtId="164" fontId="12" fillId="2" borderId="1" xfId="0" applyFont="1" applyFill="1" applyBorder="1" applyAlignment="1">
      <alignment horizontal="right"/>
    </xf>
    <xf numFmtId="2" fontId="0" fillId="6" borderId="1" xfId="0" applyNumberFormat="1" applyFill="1" applyBorder="1" applyAlignment="1">
      <alignment horizontal="right"/>
    </xf>
    <xf numFmtId="2" fontId="23" fillId="6" borderId="9" xfId="1" applyNumberFormat="1" applyFill="1" applyBorder="1" applyAlignment="1">
      <alignment horizontal="right"/>
    </xf>
    <xf numFmtId="2" fontId="0" fillId="6" borderId="1" xfId="0" applyNumberFormat="1" applyFill="1" applyBorder="1" applyAlignment="1">
      <alignment horizontal="right"/>
    </xf>
    <xf numFmtId="2" fontId="0" fillId="6" borderId="1" xfId="0" applyNumberFormat="1" applyFill="1" applyBorder="1"/>
    <xf numFmtId="2" fontId="23" fillId="6" borderId="1" xfId="1" applyNumberFormat="1" applyFill="1" applyBorder="1" applyAlignment="1">
      <alignment horizontal="right"/>
    </xf>
    <xf numFmtId="0" fontId="23" fillId="6" borderId="1" xfId="1" applyFill="1" applyBorder="1" applyAlignment="1">
      <alignment horizontal="right"/>
    </xf>
    <xf numFmtId="0" fontId="23" fillId="6" borderId="1" xfId="1" applyFill="1" applyBorder="1"/>
    <xf numFmtId="2" fontId="23" fillId="6" borderId="9" xfId="1" applyNumberFormat="1" applyFill="1" applyBorder="1"/>
    <xf numFmtId="2" fontId="23" fillId="6" borderId="1" xfId="1" applyNumberFormat="1" applyFill="1" applyBorder="1"/>
    <xf numFmtId="2" fontId="0" fillId="0" borderId="1" xfId="0" applyNumberFormat="1" applyFill="1" applyBorder="1"/>
    <xf numFmtId="2" fontId="0" fillId="0" borderId="1" xfId="0" applyNumberFormat="1" applyFill="1" applyBorder="1" applyAlignment="1">
      <alignment horizontal="right"/>
    </xf>
    <xf numFmtId="2" fontId="0" fillId="0" borderId="0" xfId="0" applyNumberFormat="1" applyAlignment="1">
      <alignment horizontal="right"/>
    </xf>
    <xf numFmtId="2" fontId="12" fillId="6" borderId="1" xfId="0" applyNumberFormat="1" applyFont="1" applyFill="1" applyBorder="1" applyAlignment="1">
      <alignment horizontal="right"/>
    </xf>
    <xf numFmtId="2" fontId="12" fillId="0" borderId="0" xfId="0" applyNumberFormat="1" applyFont="1" applyFill="1" applyBorder="1" applyAlignment="1">
      <alignment horizontal="right"/>
    </xf>
    <xf numFmtId="2" fontId="12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2" fontId="9" fillId="0" borderId="0" xfId="0" applyNumberFormat="1" applyFont="1" applyAlignment="1">
      <alignment horizontal="right"/>
    </xf>
    <xf numFmtId="164" fontId="12" fillId="0" borderId="0" xfId="0" applyFont="1" applyFill="1" applyBorder="1" applyAlignment="1">
      <alignment horizontal="right"/>
    </xf>
    <xf numFmtId="164" fontId="12" fillId="0" borderId="0" xfId="0" applyFont="1" applyAlignment="1">
      <alignment horizontal="right"/>
    </xf>
    <xf numFmtId="164" fontId="8" fillId="0" borderId="0" xfId="0" applyFont="1" applyAlignment="1">
      <alignment horizontal="right"/>
    </xf>
    <xf numFmtId="164" fontId="9" fillId="0" borderId="0" xfId="0" applyFont="1" applyAlignment="1">
      <alignment horizontal="right"/>
    </xf>
    <xf numFmtId="164" fontId="12" fillId="6" borderId="1" xfId="0" applyFont="1" applyFill="1" applyBorder="1" applyAlignment="1">
      <alignment horizontal="right"/>
    </xf>
    <xf numFmtId="165" fontId="12" fillId="6" borderId="1" xfId="0" applyNumberFormat="1" applyFont="1" applyFill="1" applyBorder="1" applyAlignment="1">
      <alignment horizontal="right"/>
    </xf>
    <xf numFmtId="165" fontId="0" fillId="6" borderId="1" xfId="0" applyNumberFormat="1" applyFill="1" applyBorder="1" applyAlignment="1">
      <alignment horizontal="right"/>
    </xf>
    <xf numFmtId="0" fontId="4" fillId="6" borderId="1" xfId="1" applyFont="1" applyFill="1" applyBorder="1" applyAlignment="1">
      <alignment horizontal="right"/>
    </xf>
    <xf numFmtId="2" fontId="0" fillId="0" borderId="1" xfId="0" applyNumberFormat="1" applyFill="1" applyBorder="1" applyAlignment="1">
      <alignment horizontal="center"/>
    </xf>
    <xf numFmtId="164" fontId="0" fillId="10" borderId="0" xfId="0" applyFill="1"/>
    <xf numFmtId="2" fontId="0" fillId="0" borderId="15" xfId="0" applyNumberFormat="1" applyFill="1" applyBorder="1"/>
    <xf numFmtId="164" fontId="5" fillId="6" borderId="1" xfId="0" applyFont="1" applyFill="1" applyBorder="1" applyAlignment="1"/>
    <xf numFmtId="164" fontId="9" fillId="2" borderId="1" xfId="0" applyFont="1" applyFill="1" applyBorder="1" applyAlignment="1"/>
    <xf numFmtId="164" fontId="0" fillId="0" borderId="1" xfId="0" applyBorder="1" applyAlignment="1"/>
    <xf numFmtId="0" fontId="22" fillId="0" borderId="0" xfId="0" applyNumberFormat="1" applyFont="1" applyFill="1" applyAlignment="1">
      <alignment horizontal="right"/>
    </xf>
    <xf numFmtId="164" fontId="22" fillId="0" borderId="0" xfId="0" applyFont="1" applyFill="1" applyAlignment="1">
      <alignment horizontal="center"/>
    </xf>
    <xf numFmtId="164" fontId="5" fillId="0" borderId="0" xfId="0" applyFont="1"/>
    <xf numFmtId="164" fontId="28" fillId="0" borderId="0" xfId="4" applyFont="1"/>
    <xf numFmtId="164" fontId="17" fillId="15" borderId="0" xfId="0" applyFont="1" applyFill="1"/>
    <xf numFmtId="164" fontId="5" fillId="15" borderId="0" xfId="0" applyFont="1" applyFill="1"/>
    <xf numFmtId="164" fontId="22" fillId="15" borderId="0" xfId="0" applyFont="1" applyFill="1"/>
    <xf numFmtId="164" fontId="9" fillId="0" borderId="1" xfId="0" applyFont="1" applyFill="1" applyBorder="1" applyAlignment="1"/>
    <xf numFmtId="164" fontId="5" fillId="6" borderId="1" xfId="0" applyFont="1" applyFill="1" applyBorder="1" applyAlignment="1">
      <alignment horizontal="left"/>
    </xf>
    <xf numFmtId="0" fontId="24" fillId="0" borderId="9" xfId="1" applyFont="1" applyBorder="1" applyAlignment="1">
      <alignment horizontal="center"/>
    </xf>
    <xf numFmtId="0" fontId="23" fillId="0" borderId="16" xfId="1" applyBorder="1"/>
    <xf numFmtId="0" fontId="24" fillId="0" borderId="9" xfId="1" applyFont="1" applyBorder="1" applyAlignment="1">
      <alignment horizontal="left"/>
    </xf>
    <xf numFmtId="164" fontId="8" fillId="0" borderId="0" xfId="0" applyFont="1" applyFill="1" applyBorder="1" applyAlignment="1"/>
    <xf numFmtId="164" fontId="8" fillId="0" borderId="0" xfId="0" applyFont="1" applyFill="1" applyBorder="1" applyAlignment="1">
      <alignment horizontal="left"/>
    </xf>
    <xf numFmtId="164" fontId="8" fillId="0" borderId="1" xfId="0" applyFont="1" applyFill="1" applyBorder="1" applyAlignment="1"/>
    <xf numFmtId="164" fontId="8" fillId="0" borderId="1" xfId="0" applyFont="1" applyFill="1" applyBorder="1" applyAlignment="1">
      <alignment horizontal="left"/>
    </xf>
    <xf numFmtId="0" fontId="19" fillId="0" borderId="3" xfId="0" applyNumberFormat="1" applyFont="1" applyBorder="1" applyAlignment="1">
      <alignment horizontal="center" wrapText="1"/>
    </xf>
    <xf numFmtId="0" fontId="25" fillId="0" borderId="0" xfId="1" applyFont="1" applyAlignment="1">
      <alignment horizontal="center" wrapText="1"/>
    </xf>
    <xf numFmtId="0" fontId="23" fillId="0" borderId="0" xfId="1" applyAlignment="1">
      <alignment wrapText="1"/>
    </xf>
    <xf numFmtId="0" fontId="24" fillId="0" borderId="0" xfId="1" applyFont="1" applyAlignment="1">
      <alignment wrapText="1"/>
    </xf>
    <xf numFmtId="44" fontId="3" fillId="6" borderId="9" xfId="5" applyFont="1" applyFill="1" applyBorder="1"/>
    <xf numFmtId="44" fontId="3" fillId="6" borderId="1" xfId="5" applyFont="1" applyFill="1" applyBorder="1"/>
    <xf numFmtId="49" fontId="17" fillId="16" borderId="1" xfId="0" applyNumberFormat="1" applyFont="1" applyFill="1" applyBorder="1"/>
    <xf numFmtId="164" fontId="0" fillId="16" borderId="1" xfId="0" applyFill="1" applyBorder="1"/>
    <xf numFmtId="164" fontId="0" fillId="16" borderId="5" xfId="0" applyFill="1" applyBorder="1"/>
    <xf numFmtId="164" fontId="0" fillId="16" borderId="12" xfId="0" applyFill="1" applyBorder="1"/>
    <xf numFmtId="44" fontId="0" fillId="0" borderId="0" xfId="5" applyFont="1"/>
    <xf numFmtId="44" fontId="11" fillId="0" borderId="0" xfId="5" applyFont="1" applyAlignment="1">
      <alignment horizontal="center"/>
    </xf>
    <xf numFmtId="44" fontId="11" fillId="0" borderId="0" xfId="5" applyFont="1"/>
    <xf numFmtId="2" fontId="30" fillId="2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/>
    <xf numFmtId="2" fontId="31" fillId="6" borderId="1" xfId="0" applyNumberFormat="1" applyFont="1" applyFill="1" applyBorder="1" applyAlignment="1">
      <alignment horizontal="right"/>
    </xf>
    <xf numFmtId="164" fontId="0" fillId="0" borderId="17" xfId="0" applyBorder="1" applyAlignment="1">
      <alignment horizontal="right"/>
    </xf>
    <xf numFmtId="39" fontId="29" fillId="6" borderId="1" xfId="5" applyNumberFormat="1" applyFont="1" applyFill="1" applyBorder="1" applyAlignment="1">
      <alignment horizontal="right"/>
    </xf>
    <xf numFmtId="39" fontId="29" fillId="6" borderId="5" xfId="5" applyNumberFormat="1" applyFont="1" applyFill="1" applyBorder="1" applyAlignment="1">
      <alignment horizontal="right"/>
    </xf>
    <xf numFmtId="39" fontId="0" fillId="0" borderId="17" xfId="5" applyNumberFormat="1" applyFont="1" applyFill="1" applyBorder="1" applyAlignment="1">
      <alignment horizontal="right"/>
    </xf>
    <xf numFmtId="39" fontId="0" fillId="0" borderId="14" xfId="5" applyNumberFormat="1" applyFont="1" applyFill="1" applyBorder="1" applyAlignment="1">
      <alignment horizontal="right"/>
    </xf>
    <xf numFmtId="39" fontId="29" fillId="6" borderId="12" xfId="5" applyNumberFormat="1" applyFont="1" applyFill="1" applyBorder="1" applyAlignment="1">
      <alignment horizontal="right"/>
    </xf>
    <xf numFmtId="39" fontId="0" fillId="0" borderId="18" xfId="5" applyNumberFormat="1" applyFont="1" applyFill="1" applyBorder="1" applyAlignment="1">
      <alignment horizontal="right"/>
    </xf>
    <xf numFmtId="39" fontId="0" fillId="0" borderId="13" xfId="5" applyNumberFormat="1" applyFont="1" applyFill="1" applyBorder="1" applyAlignment="1">
      <alignment horizontal="right"/>
    </xf>
    <xf numFmtId="44" fontId="0" fillId="0" borderId="17" xfId="5" applyNumberFormat="1" applyFont="1" applyFill="1" applyBorder="1" applyAlignment="1"/>
    <xf numFmtId="44" fontId="0" fillId="0" borderId="14" xfId="5" applyNumberFormat="1" applyFont="1" applyFill="1" applyBorder="1" applyAlignment="1"/>
    <xf numFmtId="44" fontId="29" fillId="6" borderId="12" xfId="5" applyNumberFormat="1" applyFont="1" applyFill="1" applyBorder="1" applyAlignment="1"/>
    <xf numFmtId="44" fontId="0" fillId="0" borderId="18" xfId="5" applyNumberFormat="1" applyFont="1" applyFill="1" applyBorder="1" applyAlignment="1"/>
    <xf numFmtId="44" fontId="0" fillId="0" borderId="13" xfId="5" applyNumberFormat="1" applyFont="1" applyFill="1" applyBorder="1" applyAlignment="1"/>
    <xf numFmtId="44" fontId="0" fillId="0" borderId="0" xfId="0" applyNumberFormat="1" applyAlignment="1"/>
    <xf numFmtId="44" fontId="11" fillId="0" borderId="0" xfId="0" applyNumberFormat="1" applyFont="1" applyAlignment="1"/>
    <xf numFmtId="0" fontId="3" fillId="6" borderId="1" xfId="5" applyNumberFormat="1" applyFont="1" applyFill="1" applyBorder="1"/>
    <xf numFmtId="1" fontId="3" fillId="6" borderId="1" xfId="5" applyNumberFormat="1" applyFont="1" applyFill="1" applyBorder="1"/>
    <xf numFmtId="37" fontId="3" fillId="6" borderId="1" xfId="5" applyNumberFormat="1" applyFont="1" applyFill="1" applyBorder="1"/>
    <xf numFmtId="39" fontId="0" fillId="0" borderId="0" xfId="5" applyNumberFormat="1" applyFont="1"/>
    <xf numFmtId="39" fontId="29" fillId="6" borderId="1" xfId="5" applyNumberFormat="1" applyFont="1" applyFill="1" applyBorder="1"/>
    <xf numFmtId="4" fontId="0" fillId="6" borderId="1" xfId="0" applyNumberFormat="1" applyFill="1" applyBorder="1"/>
    <xf numFmtId="4" fontId="29" fillId="6" borderId="1" xfId="5" applyNumberFormat="1" applyFont="1" applyFill="1" applyBorder="1"/>
    <xf numFmtId="39" fontId="0" fillId="0" borderId="17" xfId="5" applyNumberFormat="1" applyFont="1" applyFill="1" applyBorder="1" applyAlignment="1"/>
    <xf numFmtId="0" fontId="32" fillId="8" borderId="1" xfId="0" applyNumberFormat="1" applyFont="1" applyFill="1" applyBorder="1" applyAlignment="1">
      <alignment vertical="top" wrapText="1"/>
    </xf>
    <xf numFmtId="0" fontId="32" fillId="9" borderId="1" xfId="2" applyFont="1" applyFill="1" applyBorder="1" applyAlignment="1">
      <alignment wrapText="1"/>
    </xf>
    <xf numFmtId="164" fontId="5" fillId="6" borderId="1" xfId="0" applyFont="1" applyFill="1" applyBorder="1" applyAlignment="1"/>
    <xf numFmtId="164" fontId="8" fillId="6" borderId="1" xfId="0" applyFont="1" applyFill="1" applyBorder="1" applyAlignment="1"/>
    <xf numFmtId="0" fontId="19" fillId="0" borderId="3" xfId="0" applyNumberFormat="1" applyFont="1" applyBorder="1" applyAlignment="1">
      <alignment horizontal="center" wrapText="1"/>
    </xf>
    <xf numFmtId="0" fontId="19" fillId="0" borderId="0" xfId="0" applyNumberFormat="1" applyFont="1" applyBorder="1" applyAlignment="1">
      <alignment horizontal="center" wrapText="1"/>
    </xf>
    <xf numFmtId="164" fontId="0" fillId="2" borderId="5" xfId="0" applyFill="1" applyBorder="1" applyAlignment="1"/>
    <xf numFmtId="164" fontId="0" fillId="2" borderId="11" xfId="0" applyFill="1" applyBorder="1" applyAlignment="1"/>
    <xf numFmtId="164" fontId="0" fillId="2" borderId="12" xfId="0" applyFill="1" applyBorder="1" applyAlignment="1"/>
    <xf numFmtId="164" fontId="5" fillId="6" borderId="5" xfId="0" applyFont="1" applyFill="1" applyBorder="1" applyAlignment="1">
      <alignment horizontal="left"/>
    </xf>
    <xf numFmtId="164" fontId="8" fillId="6" borderId="11" xfId="0" applyFont="1" applyFill="1" applyBorder="1" applyAlignment="1">
      <alignment horizontal="left"/>
    </xf>
    <xf numFmtId="164" fontId="8" fillId="6" borderId="12" xfId="0" applyFont="1" applyFill="1" applyBorder="1" applyAlignment="1">
      <alignment horizontal="left"/>
    </xf>
    <xf numFmtId="49" fontId="17" fillId="13" borderId="11" xfId="0" applyNumberFormat="1" applyFont="1" applyFill="1" applyBorder="1" applyAlignment="1">
      <alignment horizontal="center"/>
    </xf>
    <xf numFmtId="164" fontId="0" fillId="2" borderId="5" xfId="0" applyFill="1" applyBorder="1"/>
    <xf numFmtId="164" fontId="0" fillId="2" borderId="11" xfId="0" applyFill="1" applyBorder="1"/>
    <xf numFmtId="164" fontId="0" fillId="2" borderId="12" xfId="0" applyFill="1" applyBorder="1"/>
    <xf numFmtId="49" fontId="17" fillId="13" borderId="11" xfId="0" applyNumberFormat="1" applyFont="1" applyFill="1" applyBorder="1" applyAlignment="1">
      <alignment horizontal="left"/>
    </xf>
    <xf numFmtId="164" fontId="5" fillId="6" borderId="11" xfId="0" applyFont="1" applyFill="1" applyBorder="1" applyAlignment="1">
      <alignment horizontal="left"/>
    </xf>
    <xf numFmtId="164" fontId="5" fillId="6" borderId="12" xfId="0" applyFont="1" applyFill="1" applyBorder="1" applyAlignment="1">
      <alignment horizontal="left"/>
    </xf>
    <xf numFmtId="164" fontId="6" fillId="0" borderId="0" xfId="0" applyFont="1" applyAlignment="1">
      <alignment horizontal="center" wrapText="1"/>
    </xf>
    <xf numFmtId="164" fontId="7" fillId="0" borderId="0" xfId="0" applyFont="1" applyAlignment="1">
      <alignment horizontal="center" wrapText="1"/>
    </xf>
    <xf numFmtId="164" fontId="9" fillId="2" borderId="1" xfId="0" applyFont="1" applyFill="1" applyBorder="1" applyAlignment="1"/>
    <xf numFmtId="164" fontId="0" fillId="0" borderId="1" xfId="0" applyBorder="1" applyAlignment="1"/>
    <xf numFmtId="164" fontId="0" fillId="2" borderId="1" xfId="0" applyFill="1" applyBorder="1" applyAlignment="1"/>
    <xf numFmtId="164" fontId="9" fillId="2" borderId="5" xfId="0" applyFont="1" applyFill="1" applyBorder="1" applyAlignment="1"/>
    <xf numFmtId="164" fontId="9" fillId="2" borderId="11" xfId="0" applyFont="1" applyFill="1" applyBorder="1" applyAlignment="1"/>
    <xf numFmtId="164" fontId="9" fillId="2" borderId="12" xfId="0" applyFont="1" applyFill="1" applyBorder="1" applyAlignment="1"/>
    <xf numFmtId="0" fontId="19" fillId="0" borderId="0" xfId="0" applyNumberFormat="1" applyFont="1" applyAlignment="1">
      <alignment horizontal="center" wrapText="1"/>
    </xf>
    <xf numFmtId="164" fontId="5" fillId="6" borderId="1" xfId="0" applyFont="1" applyFill="1" applyBorder="1"/>
    <xf numFmtId="164" fontId="5" fillId="6" borderId="5" xfId="0" applyFont="1" applyFill="1" applyBorder="1"/>
    <xf numFmtId="164" fontId="5" fillId="6" borderId="11" xfId="0" applyFont="1" applyFill="1" applyBorder="1"/>
    <xf numFmtId="164" fontId="5" fillId="6" borderId="12" xfId="0" applyFont="1" applyFill="1" applyBorder="1"/>
    <xf numFmtId="164" fontId="0" fillId="6" borderId="12" xfId="0" applyFill="1" applyBorder="1"/>
    <xf numFmtId="164" fontId="9" fillId="2" borderId="1" xfId="0" applyFont="1" applyFill="1" applyBorder="1"/>
    <xf numFmtId="164" fontId="0" fillId="0" borderId="1" xfId="0" applyBorder="1"/>
    <xf numFmtId="2" fontId="0" fillId="0" borderId="14" xfId="0" applyNumberFormat="1" applyBorder="1" applyAlignment="1">
      <alignment horizontal="right"/>
    </xf>
    <xf numFmtId="2" fontId="0" fillId="0" borderId="17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2" fontId="0" fillId="6" borderId="1" xfId="0" applyNumberFormat="1" applyFill="1" applyBorder="1" applyAlignment="1"/>
    <xf numFmtId="2" fontId="0" fillId="0" borderId="9" xfId="0" applyNumberFormat="1" applyFill="1" applyBorder="1" applyAlignment="1">
      <alignment horizontal="right"/>
    </xf>
    <xf numFmtId="44" fontId="1" fillId="6" borderId="1" xfId="7" applyNumberFormat="1" applyFill="1" applyBorder="1"/>
    <xf numFmtId="44" fontId="0" fillId="0" borderId="17" xfId="5" applyNumberFormat="1" applyFont="1" applyFill="1" applyBorder="1" applyAlignment="1">
      <alignment horizontal="right"/>
    </xf>
    <xf numFmtId="44" fontId="1" fillId="6" borderId="9" xfId="7" applyNumberFormat="1" applyFill="1" applyBorder="1"/>
    <xf numFmtId="0" fontId="1" fillId="6" borderId="1" xfId="7" applyFill="1" applyBorder="1"/>
    <xf numFmtId="2" fontId="0" fillId="6" borderId="5" xfId="0" applyNumberFormat="1" applyFill="1" applyBorder="1" applyAlignment="1">
      <alignment horizontal="right"/>
    </xf>
    <xf numFmtId="0" fontId="29" fillId="6" borderId="5" xfId="5" applyNumberFormat="1" applyFont="1" applyFill="1" applyBorder="1" applyAlignment="1">
      <alignment horizontal="right"/>
    </xf>
    <xf numFmtId="39" fontId="0" fillId="6" borderId="1" xfId="0" applyNumberFormat="1" applyFill="1" applyBorder="1" applyAlignment="1">
      <alignment horizontal="right"/>
    </xf>
    <xf numFmtId="0" fontId="0" fillId="6" borderId="1" xfId="0" applyNumberFormat="1" applyFill="1" applyBorder="1" applyAlignment="1"/>
    <xf numFmtId="0" fontId="9" fillId="5" borderId="19" xfId="0" applyNumberFormat="1" applyFont="1" applyFill="1" applyBorder="1" applyAlignment="1">
      <alignment vertical="top" wrapText="1"/>
    </xf>
    <xf numFmtId="0" fontId="9" fillId="5" borderId="1" xfId="0" applyNumberFormat="1" applyFont="1" applyFill="1" applyBorder="1" applyAlignment="1">
      <alignment vertical="top" wrapText="1"/>
    </xf>
    <xf numFmtId="0" fontId="9" fillId="5" borderId="21" xfId="0" applyNumberFormat="1" applyFont="1" applyFill="1" applyBorder="1" applyAlignment="1">
      <alignment vertical="top" wrapText="1"/>
    </xf>
    <xf numFmtId="49" fontId="9" fillId="5" borderId="20" xfId="0" applyNumberFormat="1" applyFont="1" applyFill="1" applyBorder="1" applyAlignment="1">
      <alignment wrapText="1"/>
    </xf>
    <xf numFmtId="49" fontId="9" fillId="5" borderId="22" xfId="0" applyNumberFormat="1" applyFont="1" applyFill="1" applyBorder="1" applyAlignment="1">
      <alignment wrapText="1"/>
    </xf>
    <xf numFmtId="0" fontId="9" fillId="9" borderId="1" xfId="0" applyNumberFormat="1" applyFont="1" applyFill="1" applyBorder="1" applyAlignment="1">
      <alignment wrapText="1"/>
    </xf>
    <xf numFmtId="1" fontId="1" fillId="6" borderId="1" xfId="7" applyNumberFormat="1" applyFill="1" applyBorder="1"/>
    <xf numFmtId="37" fontId="1" fillId="6" borderId="1" xfId="7" applyNumberFormat="1" applyFill="1" applyBorder="1"/>
  </cellXfs>
  <cellStyles count="8">
    <cellStyle name="Currency" xfId="5" builtinId="4"/>
    <cellStyle name="Hyperlink" xfId="4" builtinId="8"/>
    <cellStyle name="Normal" xfId="0" builtinId="0"/>
    <cellStyle name="Normal 2" xfId="1" xr:uid="{00000000-0005-0000-0000-000002000000}"/>
    <cellStyle name="Normal 2 2" xfId="6" xr:uid="{F64A8CFF-F84D-45D2-9722-C059B233E276}"/>
    <cellStyle name="Normal 2 3" xfId="7" xr:uid="{E9040A71-0C05-4852-82A3-4ACE25516568}"/>
    <cellStyle name="Normal 3" xfId="2" xr:uid="{00000000-0005-0000-0000-000003000000}"/>
    <cellStyle name="Normal 3 2" xfId="3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huck.shearer@jci.com" TargetMode="External"/><Relationship Id="rId2" Type="http://schemas.openxmlformats.org/officeDocument/2006/relationships/hyperlink" Target="mailto:jessica.eastburn@hoopesfp.com" TargetMode="External"/><Relationship Id="rId1" Type="http://schemas.openxmlformats.org/officeDocument/2006/relationships/hyperlink" Target="mailto:kim.parisi@anacondaprotectiveconcepts.com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0A451-7BF2-465B-80EB-9D3F460AE7DB}">
  <sheetPr>
    <tabColor rgb="FF7030A0"/>
  </sheetPr>
  <dimension ref="B3:N49"/>
  <sheetViews>
    <sheetView workbookViewId="0">
      <selection activeCell="J34" sqref="J34"/>
    </sheetView>
  </sheetViews>
  <sheetFormatPr defaultRowHeight="12" x14ac:dyDescent="0.15"/>
  <sheetData>
    <row r="3" spans="2:14" ht="12.75" x14ac:dyDescent="0.2">
      <c r="G3" s="14" t="s">
        <v>347</v>
      </c>
      <c r="H3" s="14"/>
      <c r="I3" s="14"/>
      <c r="J3" s="14"/>
      <c r="K3" s="14"/>
    </row>
    <row r="4" spans="2:14" ht="12.75" x14ac:dyDescent="0.2">
      <c r="G4" s="14" t="s">
        <v>348</v>
      </c>
      <c r="H4" s="14"/>
      <c r="I4" s="14"/>
      <c r="J4" s="14"/>
      <c r="K4" s="14"/>
    </row>
    <row r="8" spans="2:14" ht="12.75" x14ac:dyDescent="0.2">
      <c r="B8" s="159" t="s">
        <v>349</v>
      </c>
      <c r="C8" s="159"/>
      <c r="D8" s="159"/>
      <c r="E8" s="160"/>
      <c r="G8" s="159" t="s">
        <v>355</v>
      </c>
      <c r="H8" s="159"/>
      <c r="I8" s="159"/>
      <c r="J8" s="157"/>
      <c r="K8" s="157"/>
      <c r="L8" s="159" t="s">
        <v>361</v>
      </c>
      <c r="M8" s="159"/>
      <c r="N8" s="157"/>
    </row>
    <row r="9" spans="2:14" ht="12.75" x14ac:dyDescent="0.2">
      <c r="B9" s="157" t="s">
        <v>350</v>
      </c>
      <c r="C9" s="157"/>
      <c r="D9" s="157"/>
      <c r="E9" s="157"/>
      <c r="G9" s="157" t="s">
        <v>356</v>
      </c>
      <c r="H9" s="157"/>
      <c r="I9" s="157"/>
      <c r="J9" s="157"/>
      <c r="K9" s="157"/>
      <c r="L9" s="157" t="s">
        <v>362</v>
      </c>
      <c r="M9" s="157"/>
      <c r="N9" s="157"/>
    </row>
    <row r="10" spans="2:14" ht="12.75" x14ac:dyDescent="0.2">
      <c r="B10" s="157" t="s">
        <v>351</v>
      </c>
      <c r="C10" s="157"/>
      <c r="D10" s="157"/>
      <c r="E10" s="157"/>
      <c r="G10" s="157" t="s">
        <v>357</v>
      </c>
      <c r="H10" s="157"/>
      <c r="I10" s="157"/>
      <c r="J10" s="157"/>
      <c r="K10" s="157"/>
      <c r="L10" s="157" t="s">
        <v>363</v>
      </c>
      <c r="M10" s="157"/>
      <c r="N10" s="157"/>
    </row>
    <row r="11" spans="2:14" ht="12.75" x14ac:dyDescent="0.2">
      <c r="B11" s="157" t="s">
        <v>352</v>
      </c>
      <c r="C11" s="157"/>
      <c r="D11" s="157"/>
      <c r="E11" s="157"/>
      <c r="G11" s="157" t="s">
        <v>358</v>
      </c>
      <c r="H11" s="157"/>
      <c r="I11" s="157"/>
      <c r="J11" s="157"/>
      <c r="K11" s="157"/>
      <c r="L11" s="157" t="s">
        <v>364</v>
      </c>
      <c r="M11" s="157"/>
      <c r="N11" s="157"/>
    </row>
    <row r="12" spans="2:14" ht="12.75" x14ac:dyDescent="0.2">
      <c r="B12" s="157" t="s">
        <v>353</v>
      </c>
      <c r="C12" s="157"/>
      <c r="D12" s="157"/>
      <c r="E12" s="157"/>
      <c r="G12" s="157" t="s">
        <v>359</v>
      </c>
      <c r="H12" s="157"/>
      <c r="I12" s="157"/>
      <c r="J12" s="157"/>
      <c r="K12" s="157"/>
      <c r="L12" s="157" t="s">
        <v>365</v>
      </c>
      <c r="M12" s="157"/>
      <c r="N12" s="157"/>
    </row>
    <row r="13" spans="2:14" ht="12.75" x14ac:dyDescent="0.2">
      <c r="B13" s="158" t="s">
        <v>354</v>
      </c>
      <c r="C13" s="157"/>
      <c r="D13" s="157"/>
      <c r="E13" s="157"/>
      <c r="G13" s="158" t="s">
        <v>360</v>
      </c>
      <c r="H13" s="157"/>
      <c r="I13" s="157"/>
      <c r="J13" s="157"/>
      <c r="K13" s="157"/>
      <c r="L13" s="158" t="s">
        <v>366</v>
      </c>
      <c r="M13" s="157"/>
      <c r="N13" s="157"/>
    </row>
    <row r="17" spans="2:14" x14ac:dyDescent="0.15">
      <c r="B17" s="161" t="s">
        <v>367</v>
      </c>
      <c r="C17" s="161"/>
      <c r="D17" s="161"/>
      <c r="G17" s="161" t="s">
        <v>367</v>
      </c>
      <c r="H17" s="161"/>
      <c r="I17" s="161"/>
      <c r="L17" s="161" t="s">
        <v>367</v>
      </c>
      <c r="M17" s="161"/>
      <c r="N17" s="161"/>
    </row>
    <row r="19" spans="2:14" ht="12.75" x14ac:dyDescent="0.2">
      <c r="B19" s="157" t="s">
        <v>317</v>
      </c>
      <c r="C19" s="157"/>
      <c r="G19" s="157" t="s">
        <v>369</v>
      </c>
      <c r="H19" s="157"/>
      <c r="L19" s="157" t="s">
        <v>400</v>
      </c>
      <c r="M19" s="157"/>
    </row>
    <row r="20" spans="2:14" ht="12.75" x14ac:dyDescent="0.2">
      <c r="B20" s="157" t="s">
        <v>310</v>
      </c>
      <c r="C20" s="157"/>
      <c r="G20" s="157" t="s">
        <v>370</v>
      </c>
      <c r="H20" s="157"/>
      <c r="L20" s="157" t="s">
        <v>401</v>
      </c>
      <c r="M20" s="157"/>
    </row>
    <row r="21" spans="2:14" ht="12.75" x14ac:dyDescent="0.2">
      <c r="B21" s="157" t="s">
        <v>316</v>
      </c>
      <c r="C21" s="157"/>
      <c r="G21" s="157" t="s">
        <v>371</v>
      </c>
      <c r="H21" s="157"/>
      <c r="L21" s="157" t="s">
        <v>402</v>
      </c>
      <c r="M21" s="157"/>
    </row>
    <row r="22" spans="2:14" ht="12.75" x14ac:dyDescent="0.2">
      <c r="B22" s="157" t="s">
        <v>311</v>
      </c>
      <c r="C22" s="157"/>
      <c r="G22" s="157" t="s">
        <v>372</v>
      </c>
      <c r="H22" s="157"/>
      <c r="L22" s="157" t="s">
        <v>403</v>
      </c>
      <c r="M22" s="157"/>
    </row>
    <row r="23" spans="2:14" ht="12.75" x14ac:dyDescent="0.2">
      <c r="B23" s="157" t="s">
        <v>314</v>
      </c>
      <c r="C23" s="157"/>
      <c r="G23" s="157" t="s">
        <v>373</v>
      </c>
      <c r="H23" s="157"/>
      <c r="L23" s="157" t="s">
        <v>404</v>
      </c>
      <c r="M23" s="157"/>
    </row>
    <row r="24" spans="2:14" ht="12.75" x14ac:dyDescent="0.2">
      <c r="B24" s="157" t="s">
        <v>312</v>
      </c>
      <c r="C24" s="157"/>
      <c r="G24" s="157" t="s">
        <v>374</v>
      </c>
      <c r="H24" s="157"/>
      <c r="L24" s="157" t="s">
        <v>405</v>
      </c>
      <c r="M24" s="157"/>
    </row>
    <row r="25" spans="2:14" ht="12.75" x14ac:dyDescent="0.2">
      <c r="B25" s="157" t="s">
        <v>368</v>
      </c>
      <c r="C25" s="157"/>
      <c r="G25" s="157" t="s">
        <v>375</v>
      </c>
      <c r="H25" s="157"/>
      <c r="L25" s="157" t="s">
        <v>406</v>
      </c>
      <c r="M25" s="157"/>
    </row>
    <row r="26" spans="2:14" ht="12.75" x14ac:dyDescent="0.2">
      <c r="B26" s="157" t="s">
        <v>313</v>
      </c>
      <c r="C26" s="157"/>
      <c r="G26" s="157" t="s">
        <v>376</v>
      </c>
      <c r="H26" s="157"/>
      <c r="L26" s="157" t="s">
        <v>407</v>
      </c>
      <c r="M26" s="157"/>
    </row>
    <row r="27" spans="2:14" ht="12.75" x14ac:dyDescent="0.2">
      <c r="B27" s="157" t="s">
        <v>315</v>
      </c>
      <c r="C27" s="157"/>
      <c r="G27" s="157" t="s">
        <v>377</v>
      </c>
      <c r="H27" s="157"/>
    </row>
    <row r="28" spans="2:14" ht="12.75" x14ac:dyDescent="0.2">
      <c r="G28" s="157" t="s">
        <v>378</v>
      </c>
      <c r="H28" s="157"/>
    </row>
    <row r="29" spans="2:14" ht="12.75" x14ac:dyDescent="0.2">
      <c r="G29" s="157" t="s">
        <v>379</v>
      </c>
      <c r="H29" s="157"/>
    </row>
    <row r="30" spans="2:14" ht="12.75" x14ac:dyDescent="0.2">
      <c r="G30" s="157" t="s">
        <v>380</v>
      </c>
      <c r="H30" s="157"/>
    </row>
    <row r="31" spans="2:14" ht="12.75" x14ac:dyDescent="0.2">
      <c r="G31" s="157" t="s">
        <v>381</v>
      </c>
      <c r="H31" s="157"/>
    </row>
    <row r="32" spans="2:14" ht="12.75" x14ac:dyDescent="0.2">
      <c r="G32" s="157" t="s">
        <v>382</v>
      </c>
      <c r="H32" s="157"/>
    </row>
    <row r="33" spans="7:8" ht="12.75" x14ac:dyDescent="0.2">
      <c r="G33" s="157" t="s">
        <v>383</v>
      </c>
      <c r="H33" s="157"/>
    </row>
    <row r="34" spans="7:8" ht="12.75" x14ac:dyDescent="0.2">
      <c r="G34" s="157" t="s">
        <v>384</v>
      </c>
      <c r="H34" s="157"/>
    </row>
    <row r="35" spans="7:8" ht="12.75" x14ac:dyDescent="0.2">
      <c r="G35" s="157" t="s">
        <v>385</v>
      </c>
      <c r="H35" s="157"/>
    </row>
    <row r="36" spans="7:8" ht="12.75" x14ac:dyDescent="0.2">
      <c r="G36" s="157" t="s">
        <v>386</v>
      </c>
      <c r="H36" s="157"/>
    </row>
    <row r="37" spans="7:8" ht="12.75" x14ac:dyDescent="0.2">
      <c r="G37" s="157" t="s">
        <v>387</v>
      </c>
      <c r="H37" s="157"/>
    </row>
    <row r="38" spans="7:8" ht="12.75" x14ac:dyDescent="0.2">
      <c r="G38" s="157" t="s">
        <v>388</v>
      </c>
      <c r="H38" s="157"/>
    </row>
    <row r="39" spans="7:8" ht="12.75" x14ac:dyDescent="0.2">
      <c r="G39" s="157" t="s">
        <v>389</v>
      </c>
      <c r="H39" s="157"/>
    </row>
    <row r="40" spans="7:8" ht="12.75" x14ac:dyDescent="0.2">
      <c r="G40" s="157" t="s">
        <v>390</v>
      </c>
      <c r="H40" s="157"/>
    </row>
    <row r="41" spans="7:8" ht="12.75" x14ac:dyDescent="0.2">
      <c r="G41" s="157" t="s">
        <v>391</v>
      </c>
      <c r="H41" s="157"/>
    </row>
    <row r="42" spans="7:8" ht="12.75" x14ac:dyDescent="0.2">
      <c r="G42" s="157" t="s">
        <v>392</v>
      </c>
      <c r="H42" s="157"/>
    </row>
    <row r="43" spans="7:8" ht="12.75" x14ac:dyDescent="0.2">
      <c r="G43" s="157" t="s">
        <v>393</v>
      </c>
      <c r="H43" s="157"/>
    </row>
    <row r="44" spans="7:8" ht="12.75" x14ac:dyDescent="0.2">
      <c r="G44" s="157" t="s">
        <v>394</v>
      </c>
      <c r="H44" s="157"/>
    </row>
    <row r="45" spans="7:8" ht="12.75" x14ac:dyDescent="0.2">
      <c r="G45" s="157" t="s">
        <v>395</v>
      </c>
      <c r="H45" s="157"/>
    </row>
    <row r="46" spans="7:8" ht="12.75" x14ac:dyDescent="0.2">
      <c r="G46" s="157" t="s">
        <v>396</v>
      </c>
      <c r="H46" s="157"/>
    </row>
    <row r="47" spans="7:8" ht="12.75" x14ac:dyDescent="0.2">
      <c r="G47" s="157" t="s">
        <v>397</v>
      </c>
      <c r="H47" s="157"/>
    </row>
    <row r="48" spans="7:8" ht="12.75" x14ac:dyDescent="0.2">
      <c r="G48" s="157" t="s">
        <v>398</v>
      </c>
      <c r="H48" s="157"/>
    </row>
    <row r="49" spans="7:8" ht="12.75" x14ac:dyDescent="0.2">
      <c r="G49" s="157" t="s">
        <v>399</v>
      </c>
      <c r="H49" s="157"/>
    </row>
  </sheetData>
  <hyperlinks>
    <hyperlink ref="B13" r:id="rId1" xr:uid="{CDCF8562-D044-4913-B19A-FC4D2065B127}"/>
    <hyperlink ref="G13" r:id="rId2" xr:uid="{5C20C1EB-511C-4445-8AB0-26F781A3BD2C}"/>
    <hyperlink ref="L13" r:id="rId3" xr:uid="{87ECA0A1-6C8B-46B9-85FA-6E7FD2B6C5B9}"/>
  </hyperlinks>
  <pageMargins left="0.7" right="0.7" top="0.75" bottom="0.75" header="0.3" footer="0.3"/>
  <pageSetup orientation="portrait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512D-B5AE-448B-AD03-FA61AF12601A}">
  <dimension ref="A1:AF36"/>
  <sheetViews>
    <sheetView workbookViewId="0">
      <selection activeCell="N30" sqref="N30:P30"/>
    </sheetView>
  </sheetViews>
  <sheetFormatPr defaultRowHeight="12" x14ac:dyDescent="0.15"/>
  <cols>
    <col min="1" max="1" width="5.5" customWidth="1"/>
    <col min="2" max="2" width="29.75" customWidth="1"/>
    <col min="3" max="3" width="15.25" customWidth="1"/>
    <col min="4" max="4" width="13.875" customWidth="1"/>
    <col min="5" max="5" width="11.875" customWidth="1"/>
    <col min="6" max="8" width="11.875" bestFit="1" customWidth="1"/>
    <col min="9" max="9" width="9.875" bestFit="1" customWidth="1"/>
    <col min="10" max="10" width="10.625" customWidth="1"/>
    <col min="13" max="13" width="31.75" customWidth="1"/>
    <col min="14" max="14" width="10.125" customWidth="1"/>
    <col min="15" max="15" width="11.875" bestFit="1" customWidth="1"/>
    <col min="16" max="16" width="19.5" bestFit="1" customWidth="1"/>
    <col min="17" max="17" width="11.875" bestFit="1" customWidth="1"/>
    <col min="18" max="19" width="12.125" bestFit="1" customWidth="1"/>
    <col min="20" max="20" width="9.375" bestFit="1" customWidth="1"/>
    <col min="21" max="21" width="10.875" customWidth="1"/>
    <col min="24" max="24" width="18.75" customWidth="1"/>
    <col min="25" max="27" width="11.875" bestFit="1" customWidth="1"/>
    <col min="28" max="28" width="16.5" customWidth="1"/>
    <col min="29" max="31" width="11.875" bestFit="1" customWidth="1"/>
    <col min="32" max="32" width="10.625" customWidth="1"/>
    <col min="257" max="257" width="5.5" customWidth="1"/>
    <col min="258" max="258" width="29.75" customWidth="1"/>
    <col min="259" max="259" width="15.25" customWidth="1"/>
    <col min="260" max="260" width="13.875" customWidth="1"/>
    <col min="261" max="261" width="11.875" customWidth="1"/>
    <col min="262" max="264" width="11.875" bestFit="1" customWidth="1"/>
    <col min="265" max="265" width="9.875" bestFit="1" customWidth="1"/>
    <col min="266" max="266" width="10.625" customWidth="1"/>
    <col min="269" max="269" width="31.75" customWidth="1"/>
    <col min="270" max="270" width="10.125" customWidth="1"/>
    <col min="271" max="271" width="9.875" bestFit="1" customWidth="1"/>
    <col min="272" max="272" width="19.25" bestFit="1" customWidth="1"/>
    <col min="273" max="274" width="9.875" bestFit="1" customWidth="1"/>
    <col min="275" max="275" width="11.875" bestFit="1" customWidth="1"/>
    <col min="276" max="276" width="9.125" bestFit="1" customWidth="1"/>
    <col min="277" max="277" width="10.875" customWidth="1"/>
    <col min="280" max="280" width="18.75" customWidth="1"/>
    <col min="281" max="283" width="11.875" bestFit="1" customWidth="1"/>
    <col min="284" max="284" width="16.5" customWidth="1"/>
    <col min="285" max="287" width="11.875" bestFit="1" customWidth="1"/>
    <col min="288" max="288" width="10.625" customWidth="1"/>
    <col min="513" max="513" width="5.5" customWidth="1"/>
    <col min="514" max="514" width="29.75" customWidth="1"/>
    <col min="515" max="515" width="15.25" customWidth="1"/>
    <col min="516" max="516" width="13.875" customWidth="1"/>
    <col min="517" max="517" width="11.875" customWidth="1"/>
    <col min="518" max="520" width="11.875" bestFit="1" customWidth="1"/>
    <col min="521" max="521" width="9.875" bestFit="1" customWidth="1"/>
    <col min="522" max="522" width="10.625" customWidth="1"/>
    <col min="525" max="525" width="31.75" customWidth="1"/>
    <col min="526" max="526" width="10.125" customWidth="1"/>
    <col min="527" max="527" width="9.875" bestFit="1" customWidth="1"/>
    <col min="528" max="528" width="19.25" bestFit="1" customWidth="1"/>
    <col min="529" max="530" width="9.875" bestFit="1" customWidth="1"/>
    <col min="531" max="531" width="11.875" bestFit="1" customWidth="1"/>
    <col min="532" max="532" width="9.125" bestFit="1" customWidth="1"/>
    <col min="533" max="533" width="10.875" customWidth="1"/>
    <col min="536" max="536" width="18.75" customWidth="1"/>
    <col min="537" max="539" width="11.875" bestFit="1" customWidth="1"/>
    <col min="540" max="540" width="16.5" customWidth="1"/>
    <col min="541" max="543" width="11.875" bestFit="1" customWidth="1"/>
    <col min="544" max="544" width="10.625" customWidth="1"/>
    <col min="769" max="769" width="5.5" customWidth="1"/>
    <col min="770" max="770" width="29.75" customWidth="1"/>
    <col min="771" max="771" width="15.25" customWidth="1"/>
    <col min="772" max="772" width="13.875" customWidth="1"/>
    <col min="773" max="773" width="11.875" customWidth="1"/>
    <col min="774" max="776" width="11.875" bestFit="1" customWidth="1"/>
    <col min="777" max="777" width="9.875" bestFit="1" customWidth="1"/>
    <col min="778" max="778" width="10.625" customWidth="1"/>
    <col min="781" max="781" width="31.75" customWidth="1"/>
    <col min="782" max="782" width="10.125" customWidth="1"/>
    <col min="783" max="783" width="9.875" bestFit="1" customWidth="1"/>
    <col min="784" max="784" width="19.25" bestFit="1" customWidth="1"/>
    <col min="785" max="786" width="9.875" bestFit="1" customWidth="1"/>
    <col min="787" max="787" width="11.875" bestFit="1" customWidth="1"/>
    <col min="788" max="788" width="9.125" bestFit="1" customWidth="1"/>
    <col min="789" max="789" width="10.875" customWidth="1"/>
    <col min="792" max="792" width="18.75" customWidth="1"/>
    <col min="793" max="795" width="11.875" bestFit="1" customWidth="1"/>
    <col min="796" max="796" width="16.5" customWidth="1"/>
    <col min="797" max="799" width="11.875" bestFit="1" customWidth="1"/>
    <col min="800" max="800" width="10.625" customWidth="1"/>
    <col min="1025" max="1025" width="5.5" customWidth="1"/>
    <col min="1026" max="1026" width="29.75" customWidth="1"/>
    <col min="1027" max="1027" width="15.25" customWidth="1"/>
    <col min="1028" max="1028" width="13.875" customWidth="1"/>
    <col min="1029" max="1029" width="11.875" customWidth="1"/>
    <col min="1030" max="1032" width="11.875" bestFit="1" customWidth="1"/>
    <col min="1033" max="1033" width="9.875" bestFit="1" customWidth="1"/>
    <col min="1034" max="1034" width="10.625" customWidth="1"/>
    <col min="1037" max="1037" width="31.75" customWidth="1"/>
    <col min="1038" max="1038" width="10.125" customWidth="1"/>
    <col min="1039" max="1039" width="9.875" bestFit="1" customWidth="1"/>
    <col min="1040" max="1040" width="19.25" bestFit="1" customWidth="1"/>
    <col min="1041" max="1042" width="9.875" bestFit="1" customWidth="1"/>
    <col min="1043" max="1043" width="11.875" bestFit="1" customWidth="1"/>
    <col min="1044" max="1044" width="9.125" bestFit="1" customWidth="1"/>
    <col min="1045" max="1045" width="10.875" customWidth="1"/>
    <col min="1048" max="1048" width="18.75" customWidth="1"/>
    <col min="1049" max="1051" width="11.875" bestFit="1" customWidth="1"/>
    <col min="1052" max="1052" width="16.5" customWidth="1"/>
    <col min="1053" max="1055" width="11.875" bestFit="1" customWidth="1"/>
    <col min="1056" max="1056" width="10.625" customWidth="1"/>
    <col min="1281" max="1281" width="5.5" customWidth="1"/>
    <col min="1282" max="1282" width="29.75" customWidth="1"/>
    <col min="1283" max="1283" width="15.25" customWidth="1"/>
    <col min="1284" max="1284" width="13.875" customWidth="1"/>
    <col min="1285" max="1285" width="11.875" customWidth="1"/>
    <col min="1286" max="1288" width="11.875" bestFit="1" customWidth="1"/>
    <col min="1289" max="1289" width="9.875" bestFit="1" customWidth="1"/>
    <col min="1290" max="1290" width="10.625" customWidth="1"/>
    <col min="1293" max="1293" width="31.75" customWidth="1"/>
    <col min="1294" max="1294" width="10.125" customWidth="1"/>
    <col min="1295" max="1295" width="9.875" bestFit="1" customWidth="1"/>
    <col min="1296" max="1296" width="19.25" bestFit="1" customWidth="1"/>
    <col min="1297" max="1298" width="9.875" bestFit="1" customWidth="1"/>
    <col min="1299" max="1299" width="11.875" bestFit="1" customWidth="1"/>
    <col min="1300" max="1300" width="9.125" bestFit="1" customWidth="1"/>
    <col min="1301" max="1301" width="10.875" customWidth="1"/>
    <col min="1304" max="1304" width="18.75" customWidth="1"/>
    <col min="1305" max="1307" width="11.875" bestFit="1" customWidth="1"/>
    <col min="1308" max="1308" width="16.5" customWidth="1"/>
    <col min="1309" max="1311" width="11.875" bestFit="1" customWidth="1"/>
    <col min="1312" max="1312" width="10.625" customWidth="1"/>
    <col min="1537" max="1537" width="5.5" customWidth="1"/>
    <col min="1538" max="1538" width="29.75" customWidth="1"/>
    <col min="1539" max="1539" width="15.25" customWidth="1"/>
    <col min="1540" max="1540" width="13.875" customWidth="1"/>
    <col min="1541" max="1541" width="11.875" customWidth="1"/>
    <col min="1542" max="1544" width="11.875" bestFit="1" customWidth="1"/>
    <col min="1545" max="1545" width="9.875" bestFit="1" customWidth="1"/>
    <col min="1546" max="1546" width="10.625" customWidth="1"/>
    <col min="1549" max="1549" width="31.75" customWidth="1"/>
    <col min="1550" max="1550" width="10.125" customWidth="1"/>
    <col min="1551" max="1551" width="9.875" bestFit="1" customWidth="1"/>
    <col min="1552" max="1552" width="19.25" bestFit="1" customWidth="1"/>
    <col min="1553" max="1554" width="9.875" bestFit="1" customWidth="1"/>
    <col min="1555" max="1555" width="11.875" bestFit="1" customWidth="1"/>
    <col min="1556" max="1556" width="9.125" bestFit="1" customWidth="1"/>
    <col min="1557" max="1557" width="10.875" customWidth="1"/>
    <col min="1560" max="1560" width="18.75" customWidth="1"/>
    <col min="1561" max="1563" width="11.875" bestFit="1" customWidth="1"/>
    <col min="1564" max="1564" width="16.5" customWidth="1"/>
    <col min="1565" max="1567" width="11.875" bestFit="1" customWidth="1"/>
    <col min="1568" max="1568" width="10.625" customWidth="1"/>
    <col min="1793" max="1793" width="5.5" customWidth="1"/>
    <col min="1794" max="1794" width="29.75" customWidth="1"/>
    <col min="1795" max="1795" width="15.25" customWidth="1"/>
    <col min="1796" max="1796" width="13.875" customWidth="1"/>
    <col min="1797" max="1797" width="11.875" customWidth="1"/>
    <col min="1798" max="1800" width="11.875" bestFit="1" customWidth="1"/>
    <col min="1801" max="1801" width="9.875" bestFit="1" customWidth="1"/>
    <col min="1802" max="1802" width="10.625" customWidth="1"/>
    <col min="1805" max="1805" width="31.75" customWidth="1"/>
    <col min="1806" max="1806" width="10.125" customWidth="1"/>
    <col min="1807" max="1807" width="9.875" bestFit="1" customWidth="1"/>
    <col min="1808" max="1808" width="19.25" bestFit="1" customWidth="1"/>
    <col min="1809" max="1810" width="9.875" bestFit="1" customWidth="1"/>
    <col min="1811" max="1811" width="11.875" bestFit="1" customWidth="1"/>
    <col min="1812" max="1812" width="9.125" bestFit="1" customWidth="1"/>
    <col min="1813" max="1813" width="10.875" customWidth="1"/>
    <col min="1816" max="1816" width="18.75" customWidth="1"/>
    <col min="1817" max="1819" width="11.875" bestFit="1" customWidth="1"/>
    <col min="1820" max="1820" width="16.5" customWidth="1"/>
    <col min="1821" max="1823" width="11.875" bestFit="1" customWidth="1"/>
    <col min="1824" max="1824" width="10.625" customWidth="1"/>
    <col min="2049" max="2049" width="5.5" customWidth="1"/>
    <col min="2050" max="2050" width="29.75" customWidth="1"/>
    <col min="2051" max="2051" width="15.25" customWidth="1"/>
    <col min="2052" max="2052" width="13.875" customWidth="1"/>
    <col min="2053" max="2053" width="11.875" customWidth="1"/>
    <col min="2054" max="2056" width="11.875" bestFit="1" customWidth="1"/>
    <col min="2057" max="2057" width="9.875" bestFit="1" customWidth="1"/>
    <col min="2058" max="2058" width="10.625" customWidth="1"/>
    <col min="2061" max="2061" width="31.75" customWidth="1"/>
    <col min="2062" max="2062" width="10.125" customWidth="1"/>
    <col min="2063" max="2063" width="9.875" bestFit="1" customWidth="1"/>
    <col min="2064" max="2064" width="19.25" bestFit="1" customWidth="1"/>
    <col min="2065" max="2066" width="9.875" bestFit="1" customWidth="1"/>
    <col min="2067" max="2067" width="11.875" bestFit="1" customWidth="1"/>
    <col min="2068" max="2068" width="9.125" bestFit="1" customWidth="1"/>
    <col min="2069" max="2069" width="10.875" customWidth="1"/>
    <col min="2072" max="2072" width="18.75" customWidth="1"/>
    <col min="2073" max="2075" width="11.875" bestFit="1" customWidth="1"/>
    <col min="2076" max="2076" width="16.5" customWidth="1"/>
    <col min="2077" max="2079" width="11.875" bestFit="1" customWidth="1"/>
    <col min="2080" max="2080" width="10.625" customWidth="1"/>
    <col min="2305" max="2305" width="5.5" customWidth="1"/>
    <col min="2306" max="2306" width="29.75" customWidth="1"/>
    <col min="2307" max="2307" width="15.25" customWidth="1"/>
    <col min="2308" max="2308" width="13.875" customWidth="1"/>
    <col min="2309" max="2309" width="11.875" customWidth="1"/>
    <col min="2310" max="2312" width="11.875" bestFit="1" customWidth="1"/>
    <col min="2313" max="2313" width="9.875" bestFit="1" customWidth="1"/>
    <col min="2314" max="2314" width="10.625" customWidth="1"/>
    <col min="2317" max="2317" width="31.75" customWidth="1"/>
    <col min="2318" max="2318" width="10.125" customWidth="1"/>
    <col min="2319" max="2319" width="9.875" bestFit="1" customWidth="1"/>
    <col min="2320" max="2320" width="19.25" bestFit="1" customWidth="1"/>
    <col min="2321" max="2322" width="9.875" bestFit="1" customWidth="1"/>
    <col min="2323" max="2323" width="11.875" bestFit="1" customWidth="1"/>
    <col min="2324" max="2324" width="9.125" bestFit="1" customWidth="1"/>
    <col min="2325" max="2325" width="10.875" customWidth="1"/>
    <col min="2328" max="2328" width="18.75" customWidth="1"/>
    <col min="2329" max="2331" width="11.875" bestFit="1" customWidth="1"/>
    <col min="2332" max="2332" width="16.5" customWidth="1"/>
    <col min="2333" max="2335" width="11.875" bestFit="1" customWidth="1"/>
    <col min="2336" max="2336" width="10.625" customWidth="1"/>
    <col min="2561" max="2561" width="5.5" customWidth="1"/>
    <col min="2562" max="2562" width="29.75" customWidth="1"/>
    <col min="2563" max="2563" width="15.25" customWidth="1"/>
    <col min="2564" max="2564" width="13.875" customWidth="1"/>
    <col min="2565" max="2565" width="11.875" customWidth="1"/>
    <col min="2566" max="2568" width="11.875" bestFit="1" customWidth="1"/>
    <col min="2569" max="2569" width="9.875" bestFit="1" customWidth="1"/>
    <col min="2570" max="2570" width="10.625" customWidth="1"/>
    <col min="2573" max="2573" width="31.75" customWidth="1"/>
    <col min="2574" max="2574" width="10.125" customWidth="1"/>
    <col min="2575" max="2575" width="9.875" bestFit="1" customWidth="1"/>
    <col min="2576" max="2576" width="19.25" bestFit="1" customWidth="1"/>
    <col min="2577" max="2578" width="9.875" bestFit="1" customWidth="1"/>
    <col min="2579" max="2579" width="11.875" bestFit="1" customWidth="1"/>
    <col min="2580" max="2580" width="9.125" bestFit="1" customWidth="1"/>
    <col min="2581" max="2581" width="10.875" customWidth="1"/>
    <col min="2584" max="2584" width="18.75" customWidth="1"/>
    <col min="2585" max="2587" width="11.875" bestFit="1" customWidth="1"/>
    <col min="2588" max="2588" width="16.5" customWidth="1"/>
    <col min="2589" max="2591" width="11.875" bestFit="1" customWidth="1"/>
    <col min="2592" max="2592" width="10.625" customWidth="1"/>
    <col min="2817" max="2817" width="5.5" customWidth="1"/>
    <col min="2818" max="2818" width="29.75" customWidth="1"/>
    <col min="2819" max="2819" width="15.25" customWidth="1"/>
    <col min="2820" max="2820" width="13.875" customWidth="1"/>
    <col min="2821" max="2821" width="11.875" customWidth="1"/>
    <col min="2822" max="2824" width="11.875" bestFit="1" customWidth="1"/>
    <col min="2825" max="2825" width="9.875" bestFit="1" customWidth="1"/>
    <col min="2826" max="2826" width="10.625" customWidth="1"/>
    <col min="2829" max="2829" width="31.75" customWidth="1"/>
    <col min="2830" max="2830" width="10.125" customWidth="1"/>
    <col min="2831" max="2831" width="9.875" bestFit="1" customWidth="1"/>
    <col min="2832" max="2832" width="19.25" bestFit="1" customWidth="1"/>
    <col min="2833" max="2834" width="9.875" bestFit="1" customWidth="1"/>
    <col min="2835" max="2835" width="11.875" bestFit="1" customWidth="1"/>
    <col min="2836" max="2836" width="9.125" bestFit="1" customWidth="1"/>
    <col min="2837" max="2837" width="10.875" customWidth="1"/>
    <col min="2840" max="2840" width="18.75" customWidth="1"/>
    <col min="2841" max="2843" width="11.875" bestFit="1" customWidth="1"/>
    <col min="2844" max="2844" width="16.5" customWidth="1"/>
    <col min="2845" max="2847" width="11.875" bestFit="1" customWidth="1"/>
    <col min="2848" max="2848" width="10.625" customWidth="1"/>
    <col min="3073" max="3073" width="5.5" customWidth="1"/>
    <col min="3074" max="3074" width="29.75" customWidth="1"/>
    <col min="3075" max="3075" width="15.25" customWidth="1"/>
    <col min="3076" max="3076" width="13.875" customWidth="1"/>
    <col min="3077" max="3077" width="11.875" customWidth="1"/>
    <col min="3078" max="3080" width="11.875" bestFit="1" customWidth="1"/>
    <col min="3081" max="3081" width="9.875" bestFit="1" customWidth="1"/>
    <col min="3082" max="3082" width="10.625" customWidth="1"/>
    <col min="3085" max="3085" width="31.75" customWidth="1"/>
    <col min="3086" max="3086" width="10.125" customWidth="1"/>
    <col min="3087" max="3087" width="9.875" bestFit="1" customWidth="1"/>
    <col min="3088" max="3088" width="19.25" bestFit="1" customWidth="1"/>
    <col min="3089" max="3090" width="9.875" bestFit="1" customWidth="1"/>
    <col min="3091" max="3091" width="11.875" bestFit="1" customWidth="1"/>
    <col min="3092" max="3092" width="9.125" bestFit="1" customWidth="1"/>
    <col min="3093" max="3093" width="10.875" customWidth="1"/>
    <col min="3096" max="3096" width="18.75" customWidth="1"/>
    <col min="3097" max="3099" width="11.875" bestFit="1" customWidth="1"/>
    <col min="3100" max="3100" width="16.5" customWidth="1"/>
    <col min="3101" max="3103" width="11.875" bestFit="1" customWidth="1"/>
    <col min="3104" max="3104" width="10.625" customWidth="1"/>
    <col min="3329" max="3329" width="5.5" customWidth="1"/>
    <col min="3330" max="3330" width="29.75" customWidth="1"/>
    <col min="3331" max="3331" width="15.25" customWidth="1"/>
    <col min="3332" max="3332" width="13.875" customWidth="1"/>
    <col min="3333" max="3333" width="11.875" customWidth="1"/>
    <col min="3334" max="3336" width="11.875" bestFit="1" customWidth="1"/>
    <col min="3337" max="3337" width="9.875" bestFit="1" customWidth="1"/>
    <col min="3338" max="3338" width="10.625" customWidth="1"/>
    <col min="3341" max="3341" width="31.75" customWidth="1"/>
    <col min="3342" max="3342" width="10.125" customWidth="1"/>
    <col min="3343" max="3343" width="9.875" bestFit="1" customWidth="1"/>
    <col min="3344" max="3344" width="19.25" bestFit="1" customWidth="1"/>
    <col min="3345" max="3346" width="9.875" bestFit="1" customWidth="1"/>
    <col min="3347" max="3347" width="11.875" bestFit="1" customWidth="1"/>
    <col min="3348" max="3348" width="9.125" bestFit="1" customWidth="1"/>
    <col min="3349" max="3349" width="10.875" customWidth="1"/>
    <col min="3352" max="3352" width="18.75" customWidth="1"/>
    <col min="3353" max="3355" width="11.875" bestFit="1" customWidth="1"/>
    <col min="3356" max="3356" width="16.5" customWidth="1"/>
    <col min="3357" max="3359" width="11.875" bestFit="1" customWidth="1"/>
    <col min="3360" max="3360" width="10.625" customWidth="1"/>
    <col min="3585" max="3585" width="5.5" customWidth="1"/>
    <col min="3586" max="3586" width="29.75" customWidth="1"/>
    <col min="3587" max="3587" width="15.25" customWidth="1"/>
    <col min="3588" max="3588" width="13.875" customWidth="1"/>
    <col min="3589" max="3589" width="11.875" customWidth="1"/>
    <col min="3590" max="3592" width="11.875" bestFit="1" customWidth="1"/>
    <col min="3593" max="3593" width="9.875" bestFit="1" customWidth="1"/>
    <col min="3594" max="3594" width="10.625" customWidth="1"/>
    <col min="3597" max="3597" width="31.75" customWidth="1"/>
    <col min="3598" max="3598" width="10.125" customWidth="1"/>
    <col min="3599" max="3599" width="9.875" bestFit="1" customWidth="1"/>
    <col min="3600" max="3600" width="19.25" bestFit="1" customWidth="1"/>
    <col min="3601" max="3602" width="9.875" bestFit="1" customWidth="1"/>
    <col min="3603" max="3603" width="11.875" bestFit="1" customWidth="1"/>
    <col min="3604" max="3604" width="9.125" bestFit="1" customWidth="1"/>
    <col min="3605" max="3605" width="10.875" customWidth="1"/>
    <col min="3608" max="3608" width="18.75" customWidth="1"/>
    <col min="3609" max="3611" width="11.875" bestFit="1" customWidth="1"/>
    <col min="3612" max="3612" width="16.5" customWidth="1"/>
    <col min="3613" max="3615" width="11.875" bestFit="1" customWidth="1"/>
    <col min="3616" max="3616" width="10.625" customWidth="1"/>
    <col min="3841" max="3841" width="5.5" customWidth="1"/>
    <col min="3842" max="3842" width="29.75" customWidth="1"/>
    <col min="3843" max="3843" width="15.25" customWidth="1"/>
    <col min="3844" max="3844" width="13.875" customWidth="1"/>
    <col min="3845" max="3845" width="11.875" customWidth="1"/>
    <col min="3846" max="3848" width="11.875" bestFit="1" customWidth="1"/>
    <col min="3849" max="3849" width="9.875" bestFit="1" customWidth="1"/>
    <col min="3850" max="3850" width="10.625" customWidth="1"/>
    <col min="3853" max="3853" width="31.75" customWidth="1"/>
    <col min="3854" max="3854" width="10.125" customWidth="1"/>
    <col min="3855" max="3855" width="9.875" bestFit="1" customWidth="1"/>
    <col min="3856" max="3856" width="19.25" bestFit="1" customWidth="1"/>
    <col min="3857" max="3858" width="9.875" bestFit="1" customWidth="1"/>
    <col min="3859" max="3859" width="11.875" bestFit="1" customWidth="1"/>
    <col min="3860" max="3860" width="9.125" bestFit="1" customWidth="1"/>
    <col min="3861" max="3861" width="10.875" customWidth="1"/>
    <col min="3864" max="3864" width="18.75" customWidth="1"/>
    <col min="3865" max="3867" width="11.875" bestFit="1" customWidth="1"/>
    <col min="3868" max="3868" width="16.5" customWidth="1"/>
    <col min="3869" max="3871" width="11.875" bestFit="1" customWidth="1"/>
    <col min="3872" max="3872" width="10.625" customWidth="1"/>
    <col min="4097" max="4097" width="5.5" customWidth="1"/>
    <col min="4098" max="4098" width="29.75" customWidth="1"/>
    <col min="4099" max="4099" width="15.25" customWidth="1"/>
    <col min="4100" max="4100" width="13.875" customWidth="1"/>
    <col min="4101" max="4101" width="11.875" customWidth="1"/>
    <col min="4102" max="4104" width="11.875" bestFit="1" customWidth="1"/>
    <col min="4105" max="4105" width="9.875" bestFit="1" customWidth="1"/>
    <col min="4106" max="4106" width="10.625" customWidth="1"/>
    <col min="4109" max="4109" width="31.75" customWidth="1"/>
    <col min="4110" max="4110" width="10.125" customWidth="1"/>
    <col min="4111" max="4111" width="9.875" bestFit="1" customWidth="1"/>
    <col min="4112" max="4112" width="19.25" bestFit="1" customWidth="1"/>
    <col min="4113" max="4114" width="9.875" bestFit="1" customWidth="1"/>
    <col min="4115" max="4115" width="11.875" bestFit="1" customWidth="1"/>
    <col min="4116" max="4116" width="9.125" bestFit="1" customWidth="1"/>
    <col min="4117" max="4117" width="10.875" customWidth="1"/>
    <col min="4120" max="4120" width="18.75" customWidth="1"/>
    <col min="4121" max="4123" width="11.875" bestFit="1" customWidth="1"/>
    <col min="4124" max="4124" width="16.5" customWidth="1"/>
    <col min="4125" max="4127" width="11.875" bestFit="1" customWidth="1"/>
    <col min="4128" max="4128" width="10.625" customWidth="1"/>
    <col min="4353" max="4353" width="5.5" customWidth="1"/>
    <col min="4354" max="4354" width="29.75" customWidth="1"/>
    <col min="4355" max="4355" width="15.25" customWidth="1"/>
    <col min="4356" max="4356" width="13.875" customWidth="1"/>
    <col min="4357" max="4357" width="11.875" customWidth="1"/>
    <col min="4358" max="4360" width="11.875" bestFit="1" customWidth="1"/>
    <col min="4361" max="4361" width="9.875" bestFit="1" customWidth="1"/>
    <col min="4362" max="4362" width="10.625" customWidth="1"/>
    <col min="4365" max="4365" width="31.75" customWidth="1"/>
    <col min="4366" max="4366" width="10.125" customWidth="1"/>
    <col min="4367" max="4367" width="9.875" bestFit="1" customWidth="1"/>
    <col min="4368" max="4368" width="19.25" bestFit="1" customWidth="1"/>
    <col min="4369" max="4370" width="9.875" bestFit="1" customWidth="1"/>
    <col min="4371" max="4371" width="11.875" bestFit="1" customWidth="1"/>
    <col min="4372" max="4372" width="9.125" bestFit="1" customWidth="1"/>
    <col min="4373" max="4373" width="10.875" customWidth="1"/>
    <col min="4376" max="4376" width="18.75" customWidth="1"/>
    <col min="4377" max="4379" width="11.875" bestFit="1" customWidth="1"/>
    <col min="4380" max="4380" width="16.5" customWidth="1"/>
    <col min="4381" max="4383" width="11.875" bestFit="1" customWidth="1"/>
    <col min="4384" max="4384" width="10.625" customWidth="1"/>
    <col min="4609" max="4609" width="5.5" customWidth="1"/>
    <col min="4610" max="4610" width="29.75" customWidth="1"/>
    <col min="4611" max="4611" width="15.25" customWidth="1"/>
    <col min="4612" max="4612" width="13.875" customWidth="1"/>
    <col min="4613" max="4613" width="11.875" customWidth="1"/>
    <col min="4614" max="4616" width="11.875" bestFit="1" customWidth="1"/>
    <col min="4617" max="4617" width="9.875" bestFit="1" customWidth="1"/>
    <col min="4618" max="4618" width="10.625" customWidth="1"/>
    <col min="4621" max="4621" width="31.75" customWidth="1"/>
    <col min="4622" max="4622" width="10.125" customWidth="1"/>
    <col min="4623" max="4623" width="9.875" bestFit="1" customWidth="1"/>
    <col min="4624" max="4624" width="19.25" bestFit="1" customWidth="1"/>
    <col min="4625" max="4626" width="9.875" bestFit="1" customWidth="1"/>
    <col min="4627" max="4627" width="11.875" bestFit="1" customWidth="1"/>
    <col min="4628" max="4628" width="9.125" bestFit="1" customWidth="1"/>
    <col min="4629" max="4629" width="10.875" customWidth="1"/>
    <col min="4632" max="4632" width="18.75" customWidth="1"/>
    <col min="4633" max="4635" width="11.875" bestFit="1" customWidth="1"/>
    <col min="4636" max="4636" width="16.5" customWidth="1"/>
    <col min="4637" max="4639" width="11.875" bestFit="1" customWidth="1"/>
    <col min="4640" max="4640" width="10.625" customWidth="1"/>
    <col min="4865" max="4865" width="5.5" customWidth="1"/>
    <col min="4866" max="4866" width="29.75" customWidth="1"/>
    <col min="4867" max="4867" width="15.25" customWidth="1"/>
    <col min="4868" max="4868" width="13.875" customWidth="1"/>
    <col min="4869" max="4869" width="11.875" customWidth="1"/>
    <col min="4870" max="4872" width="11.875" bestFit="1" customWidth="1"/>
    <col min="4873" max="4873" width="9.875" bestFit="1" customWidth="1"/>
    <col min="4874" max="4874" width="10.625" customWidth="1"/>
    <col min="4877" max="4877" width="31.75" customWidth="1"/>
    <col min="4878" max="4878" width="10.125" customWidth="1"/>
    <col min="4879" max="4879" width="9.875" bestFit="1" customWidth="1"/>
    <col min="4880" max="4880" width="19.25" bestFit="1" customWidth="1"/>
    <col min="4881" max="4882" width="9.875" bestFit="1" customWidth="1"/>
    <col min="4883" max="4883" width="11.875" bestFit="1" customWidth="1"/>
    <col min="4884" max="4884" width="9.125" bestFit="1" customWidth="1"/>
    <col min="4885" max="4885" width="10.875" customWidth="1"/>
    <col min="4888" max="4888" width="18.75" customWidth="1"/>
    <col min="4889" max="4891" width="11.875" bestFit="1" customWidth="1"/>
    <col min="4892" max="4892" width="16.5" customWidth="1"/>
    <col min="4893" max="4895" width="11.875" bestFit="1" customWidth="1"/>
    <col min="4896" max="4896" width="10.625" customWidth="1"/>
    <col min="5121" max="5121" width="5.5" customWidth="1"/>
    <col min="5122" max="5122" width="29.75" customWidth="1"/>
    <col min="5123" max="5123" width="15.25" customWidth="1"/>
    <col min="5124" max="5124" width="13.875" customWidth="1"/>
    <col min="5125" max="5125" width="11.875" customWidth="1"/>
    <col min="5126" max="5128" width="11.875" bestFit="1" customWidth="1"/>
    <col min="5129" max="5129" width="9.875" bestFit="1" customWidth="1"/>
    <col min="5130" max="5130" width="10.625" customWidth="1"/>
    <col min="5133" max="5133" width="31.75" customWidth="1"/>
    <col min="5134" max="5134" width="10.125" customWidth="1"/>
    <col min="5135" max="5135" width="9.875" bestFit="1" customWidth="1"/>
    <col min="5136" max="5136" width="19.25" bestFit="1" customWidth="1"/>
    <col min="5137" max="5138" width="9.875" bestFit="1" customWidth="1"/>
    <col min="5139" max="5139" width="11.875" bestFit="1" customWidth="1"/>
    <col min="5140" max="5140" width="9.125" bestFit="1" customWidth="1"/>
    <col min="5141" max="5141" width="10.875" customWidth="1"/>
    <col min="5144" max="5144" width="18.75" customWidth="1"/>
    <col min="5145" max="5147" width="11.875" bestFit="1" customWidth="1"/>
    <col min="5148" max="5148" width="16.5" customWidth="1"/>
    <col min="5149" max="5151" width="11.875" bestFit="1" customWidth="1"/>
    <col min="5152" max="5152" width="10.625" customWidth="1"/>
    <col min="5377" max="5377" width="5.5" customWidth="1"/>
    <col min="5378" max="5378" width="29.75" customWidth="1"/>
    <col min="5379" max="5379" width="15.25" customWidth="1"/>
    <col min="5380" max="5380" width="13.875" customWidth="1"/>
    <col min="5381" max="5381" width="11.875" customWidth="1"/>
    <col min="5382" max="5384" width="11.875" bestFit="1" customWidth="1"/>
    <col min="5385" max="5385" width="9.875" bestFit="1" customWidth="1"/>
    <col min="5386" max="5386" width="10.625" customWidth="1"/>
    <col min="5389" max="5389" width="31.75" customWidth="1"/>
    <col min="5390" max="5390" width="10.125" customWidth="1"/>
    <col min="5391" max="5391" width="9.875" bestFit="1" customWidth="1"/>
    <col min="5392" max="5392" width="19.25" bestFit="1" customWidth="1"/>
    <col min="5393" max="5394" width="9.875" bestFit="1" customWidth="1"/>
    <col min="5395" max="5395" width="11.875" bestFit="1" customWidth="1"/>
    <col min="5396" max="5396" width="9.125" bestFit="1" customWidth="1"/>
    <col min="5397" max="5397" width="10.875" customWidth="1"/>
    <col min="5400" max="5400" width="18.75" customWidth="1"/>
    <col min="5401" max="5403" width="11.875" bestFit="1" customWidth="1"/>
    <col min="5404" max="5404" width="16.5" customWidth="1"/>
    <col min="5405" max="5407" width="11.875" bestFit="1" customWidth="1"/>
    <col min="5408" max="5408" width="10.625" customWidth="1"/>
    <col min="5633" max="5633" width="5.5" customWidth="1"/>
    <col min="5634" max="5634" width="29.75" customWidth="1"/>
    <col min="5635" max="5635" width="15.25" customWidth="1"/>
    <col min="5636" max="5636" width="13.875" customWidth="1"/>
    <col min="5637" max="5637" width="11.875" customWidth="1"/>
    <col min="5638" max="5640" width="11.875" bestFit="1" customWidth="1"/>
    <col min="5641" max="5641" width="9.875" bestFit="1" customWidth="1"/>
    <col min="5642" max="5642" width="10.625" customWidth="1"/>
    <col min="5645" max="5645" width="31.75" customWidth="1"/>
    <col min="5646" max="5646" width="10.125" customWidth="1"/>
    <col min="5647" max="5647" width="9.875" bestFit="1" customWidth="1"/>
    <col min="5648" max="5648" width="19.25" bestFit="1" customWidth="1"/>
    <col min="5649" max="5650" width="9.875" bestFit="1" customWidth="1"/>
    <col min="5651" max="5651" width="11.875" bestFit="1" customWidth="1"/>
    <col min="5652" max="5652" width="9.125" bestFit="1" customWidth="1"/>
    <col min="5653" max="5653" width="10.875" customWidth="1"/>
    <col min="5656" max="5656" width="18.75" customWidth="1"/>
    <col min="5657" max="5659" width="11.875" bestFit="1" customWidth="1"/>
    <col min="5660" max="5660" width="16.5" customWidth="1"/>
    <col min="5661" max="5663" width="11.875" bestFit="1" customWidth="1"/>
    <col min="5664" max="5664" width="10.625" customWidth="1"/>
    <col min="5889" max="5889" width="5.5" customWidth="1"/>
    <col min="5890" max="5890" width="29.75" customWidth="1"/>
    <col min="5891" max="5891" width="15.25" customWidth="1"/>
    <col min="5892" max="5892" width="13.875" customWidth="1"/>
    <col min="5893" max="5893" width="11.875" customWidth="1"/>
    <col min="5894" max="5896" width="11.875" bestFit="1" customWidth="1"/>
    <col min="5897" max="5897" width="9.875" bestFit="1" customWidth="1"/>
    <col min="5898" max="5898" width="10.625" customWidth="1"/>
    <col min="5901" max="5901" width="31.75" customWidth="1"/>
    <col min="5902" max="5902" width="10.125" customWidth="1"/>
    <col min="5903" max="5903" width="9.875" bestFit="1" customWidth="1"/>
    <col min="5904" max="5904" width="19.25" bestFit="1" customWidth="1"/>
    <col min="5905" max="5906" width="9.875" bestFit="1" customWidth="1"/>
    <col min="5907" max="5907" width="11.875" bestFit="1" customWidth="1"/>
    <col min="5908" max="5908" width="9.125" bestFit="1" customWidth="1"/>
    <col min="5909" max="5909" width="10.875" customWidth="1"/>
    <col min="5912" max="5912" width="18.75" customWidth="1"/>
    <col min="5913" max="5915" width="11.875" bestFit="1" customWidth="1"/>
    <col min="5916" max="5916" width="16.5" customWidth="1"/>
    <col min="5917" max="5919" width="11.875" bestFit="1" customWidth="1"/>
    <col min="5920" max="5920" width="10.625" customWidth="1"/>
    <col min="6145" max="6145" width="5.5" customWidth="1"/>
    <col min="6146" max="6146" width="29.75" customWidth="1"/>
    <col min="6147" max="6147" width="15.25" customWidth="1"/>
    <col min="6148" max="6148" width="13.875" customWidth="1"/>
    <col min="6149" max="6149" width="11.875" customWidth="1"/>
    <col min="6150" max="6152" width="11.875" bestFit="1" customWidth="1"/>
    <col min="6153" max="6153" width="9.875" bestFit="1" customWidth="1"/>
    <col min="6154" max="6154" width="10.625" customWidth="1"/>
    <col min="6157" max="6157" width="31.75" customWidth="1"/>
    <col min="6158" max="6158" width="10.125" customWidth="1"/>
    <col min="6159" max="6159" width="9.875" bestFit="1" customWidth="1"/>
    <col min="6160" max="6160" width="19.25" bestFit="1" customWidth="1"/>
    <col min="6161" max="6162" width="9.875" bestFit="1" customWidth="1"/>
    <col min="6163" max="6163" width="11.875" bestFit="1" customWidth="1"/>
    <col min="6164" max="6164" width="9.125" bestFit="1" customWidth="1"/>
    <col min="6165" max="6165" width="10.875" customWidth="1"/>
    <col min="6168" max="6168" width="18.75" customWidth="1"/>
    <col min="6169" max="6171" width="11.875" bestFit="1" customWidth="1"/>
    <col min="6172" max="6172" width="16.5" customWidth="1"/>
    <col min="6173" max="6175" width="11.875" bestFit="1" customWidth="1"/>
    <col min="6176" max="6176" width="10.625" customWidth="1"/>
    <col min="6401" max="6401" width="5.5" customWidth="1"/>
    <col min="6402" max="6402" width="29.75" customWidth="1"/>
    <col min="6403" max="6403" width="15.25" customWidth="1"/>
    <col min="6404" max="6404" width="13.875" customWidth="1"/>
    <col min="6405" max="6405" width="11.875" customWidth="1"/>
    <col min="6406" max="6408" width="11.875" bestFit="1" customWidth="1"/>
    <col min="6409" max="6409" width="9.875" bestFit="1" customWidth="1"/>
    <col min="6410" max="6410" width="10.625" customWidth="1"/>
    <col min="6413" max="6413" width="31.75" customWidth="1"/>
    <col min="6414" max="6414" width="10.125" customWidth="1"/>
    <col min="6415" max="6415" width="9.875" bestFit="1" customWidth="1"/>
    <col min="6416" max="6416" width="19.25" bestFit="1" customWidth="1"/>
    <col min="6417" max="6418" width="9.875" bestFit="1" customWidth="1"/>
    <col min="6419" max="6419" width="11.875" bestFit="1" customWidth="1"/>
    <col min="6420" max="6420" width="9.125" bestFit="1" customWidth="1"/>
    <col min="6421" max="6421" width="10.875" customWidth="1"/>
    <col min="6424" max="6424" width="18.75" customWidth="1"/>
    <col min="6425" max="6427" width="11.875" bestFit="1" customWidth="1"/>
    <col min="6428" max="6428" width="16.5" customWidth="1"/>
    <col min="6429" max="6431" width="11.875" bestFit="1" customWidth="1"/>
    <col min="6432" max="6432" width="10.625" customWidth="1"/>
    <col min="6657" max="6657" width="5.5" customWidth="1"/>
    <col min="6658" max="6658" width="29.75" customWidth="1"/>
    <col min="6659" max="6659" width="15.25" customWidth="1"/>
    <col min="6660" max="6660" width="13.875" customWidth="1"/>
    <col min="6661" max="6661" width="11.875" customWidth="1"/>
    <col min="6662" max="6664" width="11.875" bestFit="1" customWidth="1"/>
    <col min="6665" max="6665" width="9.875" bestFit="1" customWidth="1"/>
    <col min="6666" max="6666" width="10.625" customWidth="1"/>
    <col min="6669" max="6669" width="31.75" customWidth="1"/>
    <col min="6670" max="6670" width="10.125" customWidth="1"/>
    <col min="6671" max="6671" width="9.875" bestFit="1" customWidth="1"/>
    <col min="6672" max="6672" width="19.25" bestFit="1" customWidth="1"/>
    <col min="6673" max="6674" width="9.875" bestFit="1" customWidth="1"/>
    <col min="6675" max="6675" width="11.875" bestFit="1" customWidth="1"/>
    <col min="6676" max="6676" width="9.125" bestFit="1" customWidth="1"/>
    <col min="6677" max="6677" width="10.875" customWidth="1"/>
    <col min="6680" max="6680" width="18.75" customWidth="1"/>
    <col min="6681" max="6683" width="11.875" bestFit="1" customWidth="1"/>
    <col min="6684" max="6684" width="16.5" customWidth="1"/>
    <col min="6685" max="6687" width="11.875" bestFit="1" customWidth="1"/>
    <col min="6688" max="6688" width="10.625" customWidth="1"/>
    <col min="6913" max="6913" width="5.5" customWidth="1"/>
    <col min="6914" max="6914" width="29.75" customWidth="1"/>
    <col min="6915" max="6915" width="15.25" customWidth="1"/>
    <col min="6916" max="6916" width="13.875" customWidth="1"/>
    <col min="6917" max="6917" width="11.875" customWidth="1"/>
    <col min="6918" max="6920" width="11.875" bestFit="1" customWidth="1"/>
    <col min="6921" max="6921" width="9.875" bestFit="1" customWidth="1"/>
    <col min="6922" max="6922" width="10.625" customWidth="1"/>
    <col min="6925" max="6925" width="31.75" customWidth="1"/>
    <col min="6926" max="6926" width="10.125" customWidth="1"/>
    <col min="6927" max="6927" width="9.875" bestFit="1" customWidth="1"/>
    <col min="6928" max="6928" width="19.25" bestFit="1" customWidth="1"/>
    <col min="6929" max="6930" width="9.875" bestFit="1" customWidth="1"/>
    <col min="6931" max="6931" width="11.875" bestFit="1" customWidth="1"/>
    <col min="6932" max="6932" width="9.125" bestFit="1" customWidth="1"/>
    <col min="6933" max="6933" width="10.875" customWidth="1"/>
    <col min="6936" max="6936" width="18.75" customWidth="1"/>
    <col min="6937" max="6939" width="11.875" bestFit="1" customWidth="1"/>
    <col min="6940" max="6940" width="16.5" customWidth="1"/>
    <col min="6941" max="6943" width="11.875" bestFit="1" customWidth="1"/>
    <col min="6944" max="6944" width="10.625" customWidth="1"/>
    <col min="7169" max="7169" width="5.5" customWidth="1"/>
    <col min="7170" max="7170" width="29.75" customWidth="1"/>
    <col min="7171" max="7171" width="15.25" customWidth="1"/>
    <col min="7172" max="7172" width="13.875" customWidth="1"/>
    <col min="7173" max="7173" width="11.875" customWidth="1"/>
    <col min="7174" max="7176" width="11.875" bestFit="1" customWidth="1"/>
    <col min="7177" max="7177" width="9.875" bestFit="1" customWidth="1"/>
    <col min="7178" max="7178" width="10.625" customWidth="1"/>
    <col min="7181" max="7181" width="31.75" customWidth="1"/>
    <col min="7182" max="7182" width="10.125" customWidth="1"/>
    <col min="7183" max="7183" width="9.875" bestFit="1" customWidth="1"/>
    <col min="7184" max="7184" width="19.25" bestFit="1" customWidth="1"/>
    <col min="7185" max="7186" width="9.875" bestFit="1" customWidth="1"/>
    <col min="7187" max="7187" width="11.875" bestFit="1" customWidth="1"/>
    <col min="7188" max="7188" width="9.125" bestFit="1" customWidth="1"/>
    <col min="7189" max="7189" width="10.875" customWidth="1"/>
    <col min="7192" max="7192" width="18.75" customWidth="1"/>
    <col min="7193" max="7195" width="11.875" bestFit="1" customWidth="1"/>
    <col min="7196" max="7196" width="16.5" customWidth="1"/>
    <col min="7197" max="7199" width="11.875" bestFit="1" customWidth="1"/>
    <col min="7200" max="7200" width="10.625" customWidth="1"/>
    <col min="7425" max="7425" width="5.5" customWidth="1"/>
    <col min="7426" max="7426" width="29.75" customWidth="1"/>
    <col min="7427" max="7427" width="15.25" customWidth="1"/>
    <col min="7428" max="7428" width="13.875" customWidth="1"/>
    <col min="7429" max="7429" width="11.875" customWidth="1"/>
    <col min="7430" max="7432" width="11.875" bestFit="1" customWidth="1"/>
    <col min="7433" max="7433" width="9.875" bestFit="1" customWidth="1"/>
    <col min="7434" max="7434" width="10.625" customWidth="1"/>
    <col min="7437" max="7437" width="31.75" customWidth="1"/>
    <col min="7438" max="7438" width="10.125" customWidth="1"/>
    <col min="7439" max="7439" width="9.875" bestFit="1" customWidth="1"/>
    <col min="7440" max="7440" width="19.25" bestFit="1" customWidth="1"/>
    <col min="7441" max="7442" width="9.875" bestFit="1" customWidth="1"/>
    <col min="7443" max="7443" width="11.875" bestFit="1" customWidth="1"/>
    <col min="7444" max="7444" width="9.125" bestFit="1" customWidth="1"/>
    <col min="7445" max="7445" width="10.875" customWidth="1"/>
    <col min="7448" max="7448" width="18.75" customWidth="1"/>
    <col min="7449" max="7451" width="11.875" bestFit="1" customWidth="1"/>
    <col min="7452" max="7452" width="16.5" customWidth="1"/>
    <col min="7453" max="7455" width="11.875" bestFit="1" customWidth="1"/>
    <col min="7456" max="7456" width="10.625" customWidth="1"/>
    <col min="7681" max="7681" width="5.5" customWidth="1"/>
    <col min="7682" max="7682" width="29.75" customWidth="1"/>
    <col min="7683" max="7683" width="15.25" customWidth="1"/>
    <col min="7684" max="7684" width="13.875" customWidth="1"/>
    <col min="7685" max="7685" width="11.875" customWidth="1"/>
    <col min="7686" max="7688" width="11.875" bestFit="1" customWidth="1"/>
    <col min="7689" max="7689" width="9.875" bestFit="1" customWidth="1"/>
    <col min="7690" max="7690" width="10.625" customWidth="1"/>
    <col min="7693" max="7693" width="31.75" customWidth="1"/>
    <col min="7694" max="7694" width="10.125" customWidth="1"/>
    <col min="7695" max="7695" width="9.875" bestFit="1" customWidth="1"/>
    <col min="7696" max="7696" width="19.25" bestFit="1" customWidth="1"/>
    <col min="7697" max="7698" width="9.875" bestFit="1" customWidth="1"/>
    <col min="7699" max="7699" width="11.875" bestFit="1" customWidth="1"/>
    <col min="7700" max="7700" width="9.125" bestFit="1" customWidth="1"/>
    <col min="7701" max="7701" width="10.875" customWidth="1"/>
    <col min="7704" max="7704" width="18.75" customWidth="1"/>
    <col min="7705" max="7707" width="11.875" bestFit="1" customWidth="1"/>
    <col min="7708" max="7708" width="16.5" customWidth="1"/>
    <col min="7709" max="7711" width="11.875" bestFit="1" customWidth="1"/>
    <col min="7712" max="7712" width="10.625" customWidth="1"/>
    <col min="7937" max="7937" width="5.5" customWidth="1"/>
    <col min="7938" max="7938" width="29.75" customWidth="1"/>
    <col min="7939" max="7939" width="15.25" customWidth="1"/>
    <col min="7940" max="7940" width="13.875" customWidth="1"/>
    <col min="7941" max="7941" width="11.875" customWidth="1"/>
    <col min="7942" max="7944" width="11.875" bestFit="1" customWidth="1"/>
    <col min="7945" max="7945" width="9.875" bestFit="1" customWidth="1"/>
    <col min="7946" max="7946" width="10.625" customWidth="1"/>
    <col min="7949" max="7949" width="31.75" customWidth="1"/>
    <col min="7950" max="7950" width="10.125" customWidth="1"/>
    <col min="7951" max="7951" width="9.875" bestFit="1" customWidth="1"/>
    <col min="7952" max="7952" width="19.25" bestFit="1" customWidth="1"/>
    <col min="7953" max="7954" width="9.875" bestFit="1" customWidth="1"/>
    <col min="7955" max="7955" width="11.875" bestFit="1" customWidth="1"/>
    <col min="7956" max="7956" width="9.125" bestFit="1" customWidth="1"/>
    <col min="7957" max="7957" width="10.875" customWidth="1"/>
    <col min="7960" max="7960" width="18.75" customWidth="1"/>
    <col min="7961" max="7963" width="11.875" bestFit="1" customWidth="1"/>
    <col min="7964" max="7964" width="16.5" customWidth="1"/>
    <col min="7965" max="7967" width="11.875" bestFit="1" customWidth="1"/>
    <col min="7968" max="7968" width="10.625" customWidth="1"/>
    <col min="8193" max="8193" width="5.5" customWidth="1"/>
    <col min="8194" max="8194" width="29.75" customWidth="1"/>
    <col min="8195" max="8195" width="15.25" customWidth="1"/>
    <col min="8196" max="8196" width="13.875" customWidth="1"/>
    <col min="8197" max="8197" width="11.875" customWidth="1"/>
    <col min="8198" max="8200" width="11.875" bestFit="1" customWidth="1"/>
    <col min="8201" max="8201" width="9.875" bestFit="1" customWidth="1"/>
    <col min="8202" max="8202" width="10.625" customWidth="1"/>
    <col min="8205" max="8205" width="31.75" customWidth="1"/>
    <col min="8206" max="8206" width="10.125" customWidth="1"/>
    <col min="8207" max="8207" width="9.875" bestFit="1" customWidth="1"/>
    <col min="8208" max="8208" width="19.25" bestFit="1" customWidth="1"/>
    <col min="8209" max="8210" width="9.875" bestFit="1" customWidth="1"/>
    <col min="8211" max="8211" width="11.875" bestFit="1" customWidth="1"/>
    <col min="8212" max="8212" width="9.125" bestFit="1" customWidth="1"/>
    <col min="8213" max="8213" width="10.875" customWidth="1"/>
    <col min="8216" max="8216" width="18.75" customWidth="1"/>
    <col min="8217" max="8219" width="11.875" bestFit="1" customWidth="1"/>
    <col min="8220" max="8220" width="16.5" customWidth="1"/>
    <col min="8221" max="8223" width="11.875" bestFit="1" customWidth="1"/>
    <col min="8224" max="8224" width="10.625" customWidth="1"/>
    <col min="8449" max="8449" width="5.5" customWidth="1"/>
    <col min="8450" max="8450" width="29.75" customWidth="1"/>
    <col min="8451" max="8451" width="15.25" customWidth="1"/>
    <col min="8452" max="8452" width="13.875" customWidth="1"/>
    <col min="8453" max="8453" width="11.875" customWidth="1"/>
    <col min="8454" max="8456" width="11.875" bestFit="1" customWidth="1"/>
    <col min="8457" max="8457" width="9.875" bestFit="1" customWidth="1"/>
    <col min="8458" max="8458" width="10.625" customWidth="1"/>
    <col min="8461" max="8461" width="31.75" customWidth="1"/>
    <col min="8462" max="8462" width="10.125" customWidth="1"/>
    <col min="8463" max="8463" width="9.875" bestFit="1" customWidth="1"/>
    <col min="8464" max="8464" width="19.25" bestFit="1" customWidth="1"/>
    <col min="8465" max="8466" width="9.875" bestFit="1" customWidth="1"/>
    <col min="8467" max="8467" width="11.875" bestFit="1" customWidth="1"/>
    <col min="8468" max="8468" width="9.125" bestFit="1" customWidth="1"/>
    <col min="8469" max="8469" width="10.875" customWidth="1"/>
    <col min="8472" max="8472" width="18.75" customWidth="1"/>
    <col min="8473" max="8475" width="11.875" bestFit="1" customWidth="1"/>
    <col min="8476" max="8476" width="16.5" customWidth="1"/>
    <col min="8477" max="8479" width="11.875" bestFit="1" customWidth="1"/>
    <col min="8480" max="8480" width="10.625" customWidth="1"/>
    <col min="8705" max="8705" width="5.5" customWidth="1"/>
    <col min="8706" max="8706" width="29.75" customWidth="1"/>
    <col min="8707" max="8707" width="15.25" customWidth="1"/>
    <col min="8708" max="8708" width="13.875" customWidth="1"/>
    <col min="8709" max="8709" width="11.875" customWidth="1"/>
    <col min="8710" max="8712" width="11.875" bestFit="1" customWidth="1"/>
    <col min="8713" max="8713" width="9.875" bestFit="1" customWidth="1"/>
    <col min="8714" max="8714" width="10.625" customWidth="1"/>
    <col min="8717" max="8717" width="31.75" customWidth="1"/>
    <col min="8718" max="8718" width="10.125" customWidth="1"/>
    <col min="8719" max="8719" width="9.875" bestFit="1" customWidth="1"/>
    <col min="8720" max="8720" width="19.25" bestFit="1" customWidth="1"/>
    <col min="8721" max="8722" width="9.875" bestFit="1" customWidth="1"/>
    <col min="8723" max="8723" width="11.875" bestFit="1" customWidth="1"/>
    <col min="8724" max="8724" width="9.125" bestFit="1" customWidth="1"/>
    <col min="8725" max="8725" width="10.875" customWidth="1"/>
    <col min="8728" max="8728" width="18.75" customWidth="1"/>
    <col min="8729" max="8731" width="11.875" bestFit="1" customWidth="1"/>
    <col min="8732" max="8732" width="16.5" customWidth="1"/>
    <col min="8733" max="8735" width="11.875" bestFit="1" customWidth="1"/>
    <col min="8736" max="8736" width="10.625" customWidth="1"/>
    <col min="8961" max="8961" width="5.5" customWidth="1"/>
    <col min="8962" max="8962" width="29.75" customWidth="1"/>
    <col min="8963" max="8963" width="15.25" customWidth="1"/>
    <col min="8964" max="8964" width="13.875" customWidth="1"/>
    <col min="8965" max="8965" width="11.875" customWidth="1"/>
    <col min="8966" max="8968" width="11.875" bestFit="1" customWidth="1"/>
    <col min="8969" max="8969" width="9.875" bestFit="1" customWidth="1"/>
    <col min="8970" max="8970" width="10.625" customWidth="1"/>
    <col min="8973" max="8973" width="31.75" customWidth="1"/>
    <col min="8974" max="8974" width="10.125" customWidth="1"/>
    <col min="8975" max="8975" width="9.875" bestFit="1" customWidth="1"/>
    <col min="8976" max="8976" width="19.25" bestFit="1" customWidth="1"/>
    <col min="8977" max="8978" width="9.875" bestFit="1" customWidth="1"/>
    <col min="8979" max="8979" width="11.875" bestFit="1" customWidth="1"/>
    <col min="8980" max="8980" width="9.125" bestFit="1" customWidth="1"/>
    <col min="8981" max="8981" width="10.875" customWidth="1"/>
    <col min="8984" max="8984" width="18.75" customWidth="1"/>
    <col min="8985" max="8987" width="11.875" bestFit="1" customWidth="1"/>
    <col min="8988" max="8988" width="16.5" customWidth="1"/>
    <col min="8989" max="8991" width="11.875" bestFit="1" customWidth="1"/>
    <col min="8992" max="8992" width="10.625" customWidth="1"/>
    <col min="9217" max="9217" width="5.5" customWidth="1"/>
    <col min="9218" max="9218" width="29.75" customWidth="1"/>
    <col min="9219" max="9219" width="15.25" customWidth="1"/>
    <col min="9220" max="9220" width="13.875" customWidth="1"/>
    <col min="9221" max="9221" width="11.875" customWidth="1"/>
    <col min="9222" max="9224" width="11.875" bestFit="1" customWidth="1"/>
    <col min="9225" max="9225" width="9.875" bestFit="1" customWidth="1"/>
    <col min="9226" max="9226" width="10.625" customWidth="1"/>
    <col min="9229" max="9229" width="31.75" customWidth="1"/>
    <col min="9230" max="9230" width="10.125" customWidth="1"/>
    <col min="9231" max="9231" width="9.875" bestFit="1" customWidth="1"/>
    <col min="9232" max="9232" width="19.25" bestFit="1" customWidth="1"/>
    <col min="9233" max="9234" width="9.875" bestFit="1" customWidth="1"/>
    <col min="9235" max="9235" width="11.875" bestFit="1" customWidth="1"/>
    <col min="9236" max="9236" width="9.125" bestFit="1" customWidth="1"/>
    <col min="9237" max="9237" width="10.875" customWidth="1"/>
    <col min="9240" max="9240" width="18.75" customWidth="1"/>
    <col min="9241" max="9243" width="11.875" bestFit="1" customWidth="1"/>
    <col min="9244" max="9244" width="16.5" customWidth="1"/>
    <col min="9245" max="9247" width="11.875" bestFit="1" customWidth="1"/>
    <col min="9248" max="9248" width="10.625" customWidth="1"/>
    <col min="9473" max="9473" width="5.5" customWidth="1"/>
    <col min="9474" max="9474" width="29.75" customWidth="1"/>
    <col min="9475" max="9475" width="15.25" customWidth="1"/>
    <col min="9476" max="9476" width="13.875" customWidth="1"/>
    <col min="9477" max="9477" width="11.875" customWidth="1"/>
    <col min="9478" max="9480" width="11.875" bestFit="1" customWidth="1"/>
    <col min="9481" max="9481" width="9.875" bestFit="1" customWidth="1"/>
    <col min="9482" max="9482" width="10.625" customWidth="1"/>
    <col min="9485" max="9485" width="31.75" customWidth="1"/>
    <col min="9486" max="9486" width="10.125" customWidth="1"/>
    <col min="9487" max="9487" width="9.875" bestFit="1" customWidth="1"/>
    <col min="9488" max="9488" width="19.25" bestFit="1" customWidth="1"/>
    <col min="9489" max="9490" width="9.875" bestFit="1" customWidth="1"/>
    <col min="9491" max="9491" width="11.875" bestFit="1" customWidth="1"/>
    <col min="9492" max="9492" width="9.125" bestFit="1" customWidth="1"/>
    <col min="9493" max="9493" width="10.875" customWidth="1"/>
    <col min="9496" max="9496" width="18.75" customWidth="1"/>
    <col min="9497" max="9499" width="11.875" bestFit="1" customWidth="1"/>
    <col min="9500" max="9500" width="16.5" customWidth="1"/>
    <col min="9501" max="9503" width="11.875" bestFit="1" customWidth="1"/>
    <col min="9504" max="9504" width="10.625" customWidth="1"/>
    <col min="9729" max="9729" width="5.5" customWidth="1"/>
    <col min="9730" max="9730" width="29.75" customWidth="1"/>
    <col min="9731" max="9731" width="15.25" customWidth="1"/>
    <col min="9732" max="9732" width="13.875" customWidth="1"/>
    <col min="9733" max="9733" width="11.875" customWidth="1"/>
    <col min="9734" max="9736" width="11.875" bestFit="1" customWidth="1"/>
    <col min="9737" max="9737" width="9.875" bestFit="1" customWidth="1"/>
    <col min="9738" max="9738" width="10.625" customWidth="1"/>
    <col min="9741" max="9741" width="31.75" customWidth="1"/>
    <col min="9742" max="9742" width="10.125" customWidth="1"/>
    <col min="9743" max="9743" width="9.875" bestFit="1" customWidth="1"/>
    <col min="9744" max="9744" width="19.25" bestFit="1" customWidth="1"/>
    <col min="9745" max="9746" width="9.875" bestFit="1" customWidth="1"/>
    <col min="9747" max="9747" width="11.875" bestFit="1" customWidth="1"/>
    <col min="9748" max="9748" width="9.125" bestFit="1" customWidth="1"/>
    <col min="9749" max="9749" width="10.875" customWidth="1"/>
    <col min="9752" max="9752" width="18.75" customWidth="1"/>
    <col min="9753" max="9755" width="11.875" bestFit="1" customWidth="1"/>
    <col min="9756" max="9756" width="16.5" customWidth="1"/>
    <col min="9757" max="9759" width="11.875" bestFit="1" customWidth="1"/>
    <col min="9760" max="9760" width="10.625" customWidth="1"/>
    <col min="9985" max="9985" width="5.5" customWidth="1"/>
    <col min="9986" max="9986" width="29.75" customWidth="1"/>
    <col min="9987" max="9987" width="15.25" customWidth="1"/>
    <col min="9988" max="9988" width="13.875" customWidth="1"/>
    <col min="9989" max="9989" width="11.875" customWidth="1"/>
    <col min="9990" max="9992" width="11.875" bestFit="1" customWidth="1"/>
    <col min="9993" max="9993" width="9.875" bestFit="1" customWidth="1"/>
    <col min="9994" max="9994" width="10.625" customWidth="1"/>
    <col min="9997" max="9997" width="31.75" customWidth="1"/>
    <col min="9998" max="9998" width="10.125" customWidth="1"/>
    <col min="9999" max="9999" width="9.875" bestFit="1" customWidth="1"/>
    <col min="10000" max="10000" width="19.25" bestFit="1" customWidth="1"/>
    <col min="10001" max="10002" width="9.875" bestFit="1" customWidth="1"/>
    <col min="10003" max="10003" width="11.875" bestFit="1" customWidth="1"/>
    <col min="10004" max="10004" width="9.125" bestFit="1" customWidth="1"/>
    <col min="10005" max="10005" width="10.875" customWidth="1"/>
    <col min="10008" max="10008" width="18.75" customWidth="1"/>
    <col min="10009" max="10011" width="11.875" bestFit="1" customWidth="1"/>
    <col min="10012" max="10012" width="16.5" customWidth="1"/>
    <col min="10013" max="10015" width="11.875" bestFit="1" customWidth="1"/>
    <col min="10016" max="10016" width="10.625" customWidth="1"/>
    <col min="10241" max="10241" width="5.5" customWidth="1"/>
    <col min="10242" max="10242" width="29.75" customWidth="1"/>
    <col min="10243" max="10243" width="15.25" customWidth="1"/>
    <col min="10244" max="10244" width="13.875" customWidth="1"/>
    <col min="10245" max="10245" width="11.875" customWidth="1"/>
    <col min="10246" max="10248" width="11.875" bestFit="1" customWidth="1"/>
    <col min="10249" max="10249" width="9.875" bestFit="1" customWidth="1"/>
    <col min="10250" max="10250" width="10.625" customWidth="1"/>
    <col min="10253" max="10253" width="31.75" customWidth="1"/>
    <col min="10254" max="10254" width="10.125" customWidth="1"/>
    <col min="10255" max="10255" width="9.875" bestFit="1" customWidth="1"/>
    <col min="10256" max="10256" width="19.25" bestFit="1" customWidth="1"/>
    <col min="10257" max="10258" width="9.875" bestFit="1" customWidth="1"/>
    <col min="10259" max="10259" width="11.875" bestFit="1" customWidth="1"/>
    <col min="10260" max="10260" width="9.125" bestFit="1" customWidth="1"/>
    <col min="10261" max="10261" width="10.875" customWidth="1"/>
    <col min="10264" max="10264" width="18.75" customWidth="1"/>
    <col min="10265" max="10267" width="11.875" bestFit="1" customWidth="1"/>
    <col min="10268" max="10268" width="16.5" customWidth="1"/>
    <col min="10269" max="10271" width="11.875" bestFit="1" customWidth="1"/>
    <col min="10272" max="10272" width="10.625" customWidth="1"/>
    <col min="10497" max="10497" width="5.5" customWidth="1"/>
    <col min="10498" max="10498" width="29.75" customWidth="1"/>
    <col min="10499" max="10499" width="15.25" customWidth="1"/>
    <col min="10500" max="10500" width="13.875" customWidth="1"/>
    <col min="10501" max="10501" width="11.875" customWidth="1"/>
    <col min="10502" max="10504" width="11.875" bestFit="1" customWidth="1"/>
    <col min="10505" max="10505" width="9.875" bestFit="1" customWidth="1"/>
    <col min="10506" max="10506" width="10.625" customWidth="1"/>
    <col min="10509" max="10509" width="31.75" customWidth="1"/>
    <col min="10510" max="10510" width="10.125" customWidth="1"/>
    <col min="10511" max="10511" width="9.875" bestFit="1" customWidth="1"/>
    <col min="10512" max="10512" width="19.25" bestFit="1" customWidth="1"/>
    <col min="10513" max="10514" width="9.875" bestFit="1" customWidth="1"/>
    <col min="10515" max="10515" width="11.875" bestFit="1" customWidth="1"/>
    <col min="10516" max="10516" width="9.125" bestFit="1" customWidth="1"/>
    <col min="10517" max="10517" width="10.875" customWidth="1"/>
    <col min="10520" max="10520" width="18.75" customWidth="1"/>
    <col min="10521" max="10523" width="11.875" bestFit="1" customWidth="1"/>
    <col min="10524" max="10524" width="16.5" customWidth="1"/>
    <col min="10525" max="10527" width="11.875" bestFit="1" customWidth="1"/>
    <col min="10528" max="10528" width="10.625" customWidth="1"/>
    <col min="10753" max="10753" width="5.5" customWidth="1"/>
    <col min="10754" max="10754" width="29.75" customWidth="1"/>
    <col min="10755" max="10755" width="15.25" customWidth="1"/>
    <col min="10756" max="10756" width="13.875" customWidth="1"/>
    <col min="10757" max="10757" width="11.875" customWidth="1"/>
    <col min="10758" max="10760" width="11.875" bestFit="1" customWidth="1"/>
    <col min="10761" max="10761" width="9.875" bestFit="1" customWidth="1"/>
    <col min="10762" max="10762" width="10.625" customWidth="1"/>
    <col min="10765" max="10765" width="31.75" customWidth="1"/>
    <col min="10766" max="10766" width="10.125" customWidth="1"/>
    <col min="10767" max="10767" width="9.875" bestFit="1" customWidth="1"/>
    <col min="10768" max="10768" width="19.25" bestFit="1" customWidth="1"/>
    <col min="10769" max="10770" width="9.875" bestFit="1" customWidth="1"/>
    <col min="10771" max="10771" width="11.875" bestFit="1" customWidth="1"/>
    <col min="10772" max="10772" width="9.125" bestFit="1" customWidth="1"/>
    <col min="10773" max="10773" width="10.875" customWidth="1"/>
    <col min="10776" max="10776" width="18.75" customWidth="1"/>
    <col min="10777" max="10779" width="11.875" bestFit="1" customWidth="1"/>
    <col min="10780" max="10780" width="16.5" customWidth="1"/>
    <col min="10781" max="10783" width="11.875" bestFit="1" customWidth="1"/>
    <col min="10784" max="10784" width="10.625" customWidth="1"/>
    <col min="11009" max="11009" width="5.5" customWidth="1"/>
    <col min="11010" max="11010" width="29.75" customWidth="1"/>
    <col min="11011" max="11011" width="15.25" customWidth="1"/>
    <col min="11012" max="11012" width="13.875" customWidth="1"/>
    <col min="11013" max="11013" width="11.875" customWidth="1"/>
    <col min="11014" max="11016" width="11.875" bestFit="1" customWidth="1"/>
    <col min="11017" max="11017" width="9.875" bestFit="1" customWidth="1"/>
    <col min="11018" max="11018" width="10.625" customWidth="1"/>
    <col min="11021" max="11021" width="31.75" customWidth="1"/>
    <col min="11022" max="11022" width="10.125" customWidth="1"/>
    <col min="11023" max="11023" width="9.875" bestFit="1" customWidth="1"/>
    <col min="11024" max="11024" width="19.25" bestFit="1" customWidth="1"/>
    <col min="11025" max="11026" width="9.875" bestFit="1" customWidth="1"/>
    <col min="11027" max="11027" width="11.875" bestFit="1" customWidth="1"/>
    <col min="11028" max="11028" width="9.125" bestFit="1" customWidth="1"/>
    <col min="11029" max="11029" width="10.875" customWidth="1"/>
    <col min="11032" max="11032" width="18.75" customWidth="1"/>
    <col min="11033" max="11035" width="11.875" bestFit="1" customWidth="1"/>
    <col min="11036" max="11036" width="16.5" customWidth="1"/>
    <col min="11037" max="11039" width="11.875" bestFit="1" customWidth="1"/>
    <col min="11040" max="11040" width="10.625" customWidth="1"/>
    <col min="11265" max="11265" width="5.5" customWidth="1"/>
    <col min="11266" max="11266" width="29.75" customWidth="1"/>
    <col min="11267" max="11267" width="15.25" customWidth="1"/>
    <col min="11268" max="11268" width="13.875" customWidth="1"/>
    <col min="11269" max="11269" width="11.875" customWidth="1"/>
    <col min="11270" max="11272" width="11.875" bestFit="1" customWidth="1"/>
    <col min="11273" max="11273" width="9.875" bestFit="1" customWidth="1"/>
    <col min="11274" max="11274" width="10.625" customWidth="1"/>
    <col min="11277" max="11277" width="31.75" customWidth="1"/>
    <col min="11278" max="11278" width="10.125" customWidth="1"/>
    <col min="11279" max="11279" width="9.875" bestFit="1" customWidth="1"/>
    <col min="11280" max="11280" width="19.25" bestFit="1" customWidth="1"/>
    <col min="11281" max="11282" width="9.875" bestFit="1" customWidth="1"/>
    <col min="11283" max="11283" width="11.875" bestFit="1" customWidth="1"/>
    <col min="11284" max="11284" width="9.125" bestFit="1" customWidth="1"/>
    <col min="11285" max="11285" width="10.875" customWidth="1"/>
    <col min="11288" max="11288" width="18.75" customWidth="1"/>
    <col min="11289" max="11291" width="11.875" bestFit="1" customWidth="1"/>
    <col min="11292" max="11292" width="16.5" customWidth="1"/>
    <col min="11293" max="11295" width="11.875" bestFit="1" customWidth="1"/>
    <col min="11296" max="11296" width="10.625" customWidth="1"/>
    <col min="11521" max="11521" width="5.5" customWidth="1"/>
    <col min="11522" max="11522" width="29.75" customWidth="1"/>
    <col min="11523" max="11523" width="15.25" customWidth="1"/>
    <col min="11524" max="11524" width="13.875" customWidth="1"/>
    <col min="11525" max="11525" width="11.875" customWidth="1"/>
    <col min="11526" max="11528" width="11.875" bestFit="1" customWidth="1"/>
    <col min="11529" max="11529" width="9.875" bestFit="1" customWidth="1"/>
    <col min="11530" max="11530" width="10.625" customWidth="1"/>
    <col min="11533" max="11533" width="31.75" customWidth="1"/>
    <col min="11534" max="11534" width="10.125" customWidth="1"/>
    <col min="11535" max="11535" width="9.875" bestFit="1" customWidth="1"/>
    <col min="11536" max="11536" width="19.25" bestFit="1" customWidth="1"/>
    <col min="11537" max="11538" width="9.875" bestFit="1" customWidth="1"/>
    <col min="11539" max="11539" width="11.875" bestFit="1" customWidth="1"/>
    <col min="11540" max="11540" width="9.125" bestFit="1" customWidth="1"/>
    <col min="11541" max="11541" width="10.875" customWidth="1"/>
    <col min="11544" max="11544" width="18.75" customWidth="1"/>
    <col min="11545" max="11547" width="11.875" bestFit="1" customWidth="1"/>
    <col min="11548" max="11548" width="16.5" customWidth="1"/>
    <col min="11549" max="11551" width="11.875" bestFit="1" customWidth="1"/>
    <col min="11552" max="11552" width="10.625" customWidth="1"/>
    <col min="11777" max="11777" width="5.5" customWidth="1"/>
    <col min="11778" max="11778" width="29.75" customWidth="1"/>
    <col min="11779" max="11779" width="15.25" customWidth="1"/>
    <col min="11780" max="11780" width="13.875" customWidth="1"/>
    <col min="11781" max="11781" width="11.875" customWidth="1"/>
    <col min="11782" max="11784" width="11.875" bestFit="1" customWidth="1"/>
    <col min="11785" max="11785" width="9.875" bestFit="1" customWidth="1"/>
    <col min="11786" max="11786" width="10.625" customWidth="1"/>
    <col min="11789" max="11789" width="31.75" customWidth="1"/>
    <col min="11790" max="11790" width="10.125" customWidth="1"/>
    <col min="11791" max="11791" width="9.875" bestFit="1" customWidth="1"/>
    <col min="11792" max="11792" width="19.25" bestFit="1" customWidth="1"/>
    <col min="11793" max="11794" width="9.875" bestFit="1" customWidth="1"/>
    <col min="11795" max="11795" width="11.875" bestFit="1" customWidth="1"/>
    <col min="11796" max="11796" width="9.125" bestFit="1" customWidth="1"/>
    <col min="11797" max="11797" width="10.875" customWidth="1"/>
    <col min="11800" max="11800" width="18.75" customWidth="1"/>
    <col min="11801" max="11803" width="11.875" bestFit="1" customWidth="1"/>
    <col min="11804" max="11804" width="16.5" customWidth="1"/>
    <col min="11805" max="11807" width="11.875" bestFit="1" customWidth="1"/>
    <col min="11808" max="11808" width="10.625" customWidth="1"/>
    <col min="12033" max="12033" width="5.5" customWidth="1"/>
    <col min="12034" max="12034" width="29.75" customWidth="1"/>
    <col min="12035" max="12035" width="15.25" customWidth="1"/>
    <col min="12036" max="12036" width="13.875" customWidth="1"/>
    <col min="12037" max="12037" width="11.875" customWidth="1"/>
    <col min="12038" max="12040" width="11.875" bestFit="1" customWidth="1"/>
    <col min="12041" max="12041" width="9.875" bestFit="1" customWidth="1"/>
    <col min="12042" max="12042" width="10.625" customWidth="1"/>
    <col min="12045" max="12045" width="31.75" customWidth="1"/>
    <col min="12046" max="12046" width="10.125" customWidth="1"/>
    <col min="12047" max="12047" width="9.875" bestFit="1" customWidth="1"/>
    <col min="12048" max="12048" width="19.25" bestFit="1" customWidth="1"/>
    <col min="12049" max="12050" width="9.875" bestFit="1" customWidth="1"/>
    <col min="12051" max="12051" width="11.875" bestFit="1" customWidth="1"/>
    <col min="12052" max="12052" width="9.125" bestFit="1" customWidth="1"/>
    <col min="12053" max="12053" width="10.875" customWidth="1"/>
    <col min="12056" max="12056" width="18.75" customWidth="1"/>
    <col min="12057" max="12059" width="11.875" bestFit="1" customWidth="1"/>
    <col min="12060" max="12060" width="16.5" customWidth="1"/>
    <col min="12061" max="12063" width="11.875" bestFit="1" customWidth="1"/>
    <col min="12064" max="12064" width="10.625" customWidth="1"/>
    <col min="12289" max="12289" width="5.5" customWidth="1"/>
    <col min="12290" max="12290" width="29.75" customWidth="1"/>
    <col min="12291" max="12291" width="15.25" customWidth="1"/>
    <col min="12292" max="12292" width="13.875" customWidth="1"/>
    <col min="12293" max="12293" width="11.875" customWidth="1"/>
    <col min="12294" max="12296" width="11.875" bestFit="1" customWidth="1"/>
    <col min="12297" max="12297" width="9.875" bestFit="1" customWidth="1"/>
    <col min="12298" max="12298" width="10.625" customWidth="1"/>
    <col min="12301" max="12301" width="31.75" customWidth="1"/>
    <col min="12302" max="12302" width="10.125" customWidth="1"/>
    <col min="12303" max="12303" width="9.875" bestFit="1" customWidth="1"/>
    <col min="12304" max="12304" width="19.25" bestFit="1" customWidth="1"/>
    <col min="12305" max="12306" width="9.875" bestFit="1" customWidth="1"/>
    <col min="12307" max="12307" width="11.875" bestFit="1" customWidth="1"/>
    <col min="12308" max="12308" width="9.125" bestFit="1" customWidth="1"/>
    <col min="12309" max="12309" width="10.875" customWidth="1"/>
    <col min="12312" max="12312" width="18.75" customWidth="1"/>
    <col min="12313" max="12315" width="11.875" bestFit="1" customWidth="1"/>
    <col min="12316" max="12316" width="16.5" customWidth="1"/>
    <col min="12317" max="12319" width="11.875" bestFit="1" customWidth="1"/>
    <col min="12320" max="12320" width="10.625" customWidth="1"/>
    <col min="12545" max="12545" width="5.5" customWidth="1"/>
    <col min="12546" max="12546" width="29.75" customWidth="1"/>
    <col min="12547" max="12547" width="15.25" customWidth="1"/>
    <col min="12548" max="12548" width="13.875" customWidth="1"/>
    <col min="12549" max="12549" width="11.875" customWidth="1"/>
    <col min="12550" max="12552" width="11.875" bestFit="1" customWidth="1"/>
    <col min="12553" max="12553" width="9.875" bestFit="1" customWidth="1"/>
    <col min="12554" max="12554" width="10.625" customWidth="1"/>
    <col min="12557" max="12557" width="31.75" customWidth="1"/>
    <col min="12558" max="12558" width="10.125" customWidth="1"/>
    <col min="12559" max="12559" width="9.875" bestFit="1" customWidth="1"/>
    <col min="12560" max="12560" width="19.25" bestFit="1" customWidth="1"/>
    <col min="12561" max="12562" width="9.875" bestFit="1" customWidth="1"/>
    <col min="12563" max="12563" width="11.875" bestFit="1" customWidth="1"/>
    <col min="12564" max="12564" width="9.125" bestFit="1" customWidth="1"/>
    <col min="12565" max="12565" width="10.875" customWidth="1"/>
    <col min="12568" max="12568" width="18.75" customWidth="1"/>
    <col min="12569" max="12571" width="11.875" bestFit="1" customWidth="1"/>
    <col min="12572" max="12572" width="16.5" customWidth="1"/>
    <col min="12573" max="12575" width="11.875" bestFit="1" customWidth="1"/>
    <col min="12576" max="12576" width="10.625" customWidth="1"/>
    <col min="12801" max="12801" width="5.5" customWidth="1"/>
    <col min="12802" max="12802" width="29.75" customWidth="1"/>
    <col min="12803" max="12803" width="15.25" customWidth="1"/>
    <col min="12804" max="12804" width="13.875" customWidth="1"/>
    <col min="12805" max="12805" width="11.875" customWidth="1"/>
    <col min="12806" max="12808" width="11.875" bestFit="1" customWidth="1"/>
    <col min="12809" max="12809" width="9.875" bestFit="1" customWidth="1"/>
    <col min="12810" max="12810" width="10.625" customWidth="1"/>
    <col min="12813" max="12813" width="31.75" customWidth="1"/>
    <col min="12814" max="12814" width="10.125" customWidth="1"/>
    <col min="12815" max="12815" width="9.875" bestFit="1" customWidth="1"/>
    <col min="12816" max="12816" width="19.25" bestFit="1" customWidth="1"/>
    <col min="12817" max="12818" width="9.875" bestFit="1" customWidth="1"/>
    <col min="12819" max="12819" width="11.875" bestFit="1" customWidth="1"/>
    <col min="12820" max="12820" width="9.125" bestFit="1" customWidth="1"/>
    <col min="12821" max="12821" width="10.875" customWidth="1"/>
    <col min="12824" max="12824" width="18.75" customWidth="1"/>
    <col min="12825" max="12827" width="11.875" bestFit="1" customWidth="1"/>
    <col min="12828" max="12828" width="16.5" customWidth="1"/>
    <col min="12829" max="12831" width="11.875" bestFit="1" customWidth="1"/>
    <col min="12832" max="12832" width="10.625" customWidth="1"/>
    <col min="13057" max="13057" width="5.5" customWidth="1"/>
    <col min="13058" max="13058" width="29.75" customWidth="1"/>
    <col min="13059" max="13059" width="15.25" customWidth="1"/>
    <col min="13060" max="13060" width="13.875" customWidth="1"/>
    <col min="13061" max="13061" width="11.875" customWidth="1"/>
    <col min="13062" max="13064" width="11.875" bestFit="1" customWidth="1"/>
    <col min="13065" max="13065" width="9.875" bestFit="1" customWidth="1"/>
    <col min="13066" max="13066" width="10.625" customWidth="1"/>
    <col min="13069" max="13069" width="31.75" customWidth="1"/>
    <col min="13070" max="13070" width="10.125" customWidth="1"/>
    <col min="13071" max="13071" width="9.875" bestFit="1" customWidth="1"/>
    <col min="13072" max="13072" width="19.25" bestFit="1" customWidth="1"/>
    <col min="13073" max="13074" width="9.875" bestFit="1" customWidth="1"/>
    <col min="13075" max="13075" width="11.875" bestFit="1" customWidth="1"/>
    <col min="13076" max="13076" width="9.125" bestFit="1" customWidth="1"/>
    <col min="13077" max="13077" width="10.875" customWidth="1"/>
    <col min="13080" max="13080" width="18.75" customWidth="1"/>
    <col min="13081" max="13083" width="11.875" bestFit="1" customWidth="1"/>
    <col min="13084" max="13084" width="16.5" customWidth="1"/>
    <col min="13085" max="13087" width="11.875" bestFit="1" customWidth="1"/>
    <col min="13088" max="13088" width="10.625" customWidth="1"/>
    <col min="13313" max="13313" width="5.5" customWidth="1"/>
    <col min="13314" max="13314" width="29.75" customWidth="1"/>
    <col min="13315" max="13315" width="15.25" customWidth="1"/>
    <col min="13316" max="13316" width="13.875" customWidth="1"/>
    <col min="13317" max="13317" width="11.875" customWidth="1"/>
    <col min="13318" max="13320" width="11.875" bestFit="1" customWidth="1"/>
    <col min="13321" max="13321" width="9.875" bestFit="1" customWidth="1"/>
    <col min="13322" max="13322" width="10.625" customWidth="1"/>
    <col min="13325" max="13325" width="31.75" customWidth="1"/>
    <col min="13326" max="13326" width="10.125" customWidth="1"/>
    <col min="13327" max="13327" width="9.875" bestFit="1" customWidth="1"/>
    <col min="13328" max="13328" width="19.25" bestFit="1" customWidth="1"/>
    <col min="13329" max="13330" width="9.875" bestFit="1" customWidth="1"/>
    <col min="13331" max="13331" width="11.875" bestFit="1" customWidth="1"/>
    <col min="13332" max="13332" width="9.125" bestFit="1" customWidth="1"/>
    <col min="13333" max="13333" width="10.875" customWidth="1"/>
    <col min="13336" max="13336" width="18.75" customWidth="1"/>
    <col min="13337" max="13339" width="11.875" bestFit="1" customWidth="1"/>
    <col min="13340" max="13340" width="16.5" customWidth="1"/>
    <col min="13341" max="13343" width="11.875" bestFit="1" customWidth="1"/>
    <col min="13344" max="13344" width="10.625" customWidth="1"/>
    <col min="13569" max="13569" width="5.5" customWidth="1"/>
    <col min="13570" max="13570" width="29.75" customWidth="1"/>
    <col min="13571" max="13571" width="15.25" customWidth="1"/>
    <col min="13572" max="13572" width="13.875" customWidth="1"/>
    <col min="13573" max="13573" width="11.875" customWidth="1"/>
    <col min="13574" max="13576" width="11.875" bestFit="1" customWidth="1"/>
    <col min="13577" max="13577" width="9.875" bestFit="1" customWidth="1"/>
    <col min="13578" max="13578" width="10.625" customWidth="1"/>
    <col min="13581" max="13581" width="31.75" customWidth="1"/>
    <col min="13582" max="13582" width="10.125" customWidth="1"/>
    <col min="13583" max="13583" width="9.875" bestFit="1" customWidth="1"/>
    <col min="13584" max="13584" width="19.25" bestFit="1" customWidth="1"/>
    <col min="13585" max="13586" width="9.875" bestFit="1" customWidth="1"/>
    <col min="13587" max="13587" width="11.875" bestFit="1" customWidth="1"/>
    <col min="13588" max="13588" width="9.125" bestFit="1" customWidth="1"/>
    <col min="13589" max="13589" width="10.875" customWidth="1"/>
    <col min="13592" max="13592" width="18.75" customWidth="1"/>
    <col min="13593" max="13595" width="11.875" bestFit="1" customWidth="1"/>
    <col min="13596" max="13596" width="16.5" customWidth="1"/>
    <col min="13597" max="13599" width="11.875" bestFit="1" customWidth="1"/>
    <col min="13600" max="13600" width="10.625" customWidth="1"/>
    <col min="13825" max="13825" width="5.5" customWidth="1"/>
    <col min="13826" max="13826" width="29.75" customWidth="1"/>
    <col min="13827" max="13827" width="15.25" customWidth="1"/>
    <col min="13828" max="13828" width="13.875" customWidth="1"/>
    <col min="13829" max="13829" width="11.875" customWidth="1"/>
    <col min="13830" max="13832" width="11.875" bestFit="1" customWidth="1"/>
    <col min="13833" max="13833" width="9.875" bestFit="1" customWidth="1"/>
    <col min="13834" max="13834" width="10.625" customWidth="1"/>
    <col min="13837" max="13837" width="31.75" customWidth="1"/>
    <col min="13838" max="13838" width="10.125" customWidth="1"/>
    <col min="13839" max="13839" width="9.875" bestFit="1" customWidth="1"/>
    <col min="13840" max="13840" width="19.25" bestFit="1" customWidth="1"/>
    <col min="13841" max="13842" width="9.875" bestFit="1" customWidth="1"/>
    <col min="13843" max="13843" width="11.875" bestFit="1" customWidth="1"/>
    <col min="13844" max="13844" width="9.125" bestFit="1" customWidth="1"/>
    <col min="13845" max="13845" width="10.875" customWidth="1"/>
    <col min="13848" max="13848" width="18.75" customWidth="1"/>
    <col min="13849" max="13851" width="11.875" bestFit="1" customWidth="1"/>
    <col min="13852" max="13852" width="16.5" customWidth="1"/>
    <col min="13853" max="13855" width="11.875" bestFit="1" customWidth="1"/>
    <col min="13856" max="13856" width="10.625" customWidth="1"/>
    <col min="14081" max="14081" width="5.5" customWidth="1"/>
    <col min="14082" max="14082" width="29.75" customWidth="1"/>
    <col min="14083" max="14083" width="15.25" customWidth="1"/>
    <col min="14084" max="14084" width="13.875" customWidth="1"/>
    <col min="14085" max="14085" width="11.875" customWidth="1"/>
    <col min="14086" max="14088" width="11.875" bestFit="1" customWidth="1"/>
    <col min="14089" max="14089" width="9.875" bestFit="1" customWidth="1"/>
    <col min="14090" max="14090" width="10.625" customWidth="1"/>
    <col min="14093" max="14093" width="31.75" customWidth="1"/>
    <col min="14094" max="14094" width="10.125" customWidth="1"/>
    <col min="14095" max="14095" width="9.875" bestFit="1" customWidth="1"/>
    <col min="14096" max="14096" width="19.25" bestFit="1" customWidth="1"/>
    <col min="14097" max="14098" width="9.875" bestFit="1" customWidth="1"/>
    <col min="14099" max="14099" width="11.875" bestFit="1" customWidth="1"/>
    <col min="14100" max="14100" width="9.125" bestFit="1" customWidth="1"/>
    <col min="14101" max="14101" width="10.875" customWidth="1"/>
    <col min="14104" max="14104" width="18.75" customWidth="1"/>
    <col min="14105" max="14107" width="11.875" bestFit="1" customWidth="1"/>
    <col min="14108" max="14108" width="16.5" customWidth="1"/>
    <col min="14109" max="14111" width="11.875" bestFit="1" customWidth="1"/>
    <col min="14112" max="14112" width="10.625" customWidth="1"/>
    <col min="14337" max="14337" width="5.5" customWidth="1"/>
    <col min="14338" max="14338" width="29.75" customWidth="1"/>
    <col min="14339" max="14339" width="15.25" customWidth="1"/>
    <col min="14340" max="14340" width="13.875" customWidth="1"/>
    <col min="14341" max="14341" width="11.875" customWidth="1"/>
    <col min="14342" max="14344" width="11.875" bestFit="1" customWidth="1"/>
    <col min="14345" max="14345" width="9.875" bestFit="1" customWidth="1"/>
    <col min="14346" max="14346" width="10.625" customWidth="1"/>
    <col min="14349" max="14349" width="31.75" customWidth="1"/>
    <col min="14350" max="14350" width="10.125" customWidth="1"/>
    <col min="14351" max="14351" width="9.875" bestFit="1" customWidth="1"/>
    <col min="14352" max="14352" width="19.25" bestFit="1" customWidth="1"/>
    <col min="14353" max="14354" width="9.875" bestFit="1" customWidth="1"/>
    <col min="14355" max="14355" width="11.875" bestFit="1" customWidth="1"/>
    <col min="14356" max="14356" width="9.125" bestFit="1" customWidth="1"/>
    <col min="14357" max="14357" width="10.875" customWidth="1"/>
    <col min="14360" max="14360" width="18.75" customWidth="1"/>
    <col min="14361" max="14363" width="11.875" bestFit="1" customWidth="1"/>
    <col min="14364" max="14364" width="16.5" customWidth="1"/>
    <col min="14365" max="14367" width="11.875" bestFit="1" customWidth="1"/>
    <col min="14368" max="14368" width="10.625" customWidth="1"/>
    <col min="14593" max="14593" width="5.5" customWidth="1"/>
    <col min="14594" max="14594" width="29.75" customWidth="1"/>
    <col min="14595" max="14595" width="15.25" customWidth="1"/>
    <col min="14596" max="14596" width="13.875" customWidth="1"/>
    <col min="14597" max="14597" width="11.875" customWidth="1"/>
    <col min="14598" max="14600" width="11.875" bestFit="1" customWidth="1"/>
    <col min="14601" max="14601" width="9.875" bestFit="1" customWidth="1"/>
    <col min="14602" max="14602" width="10.625" customWidth="1"/>
    <col min="14605" max="14605" width="31.75" customWidth="1"/>
    <col min="14606" max="14606" width="10.125" customWidth="1"/>
    <col min="14607" max="14607" width="9.875" bestFit="1" customWidth="1"/>
    <col min="14608" max="14608" width="19.25" bestFit="1" customWidth="1"/>
    <col min="14609" max="14610" width="9.875" bestFit="1" customWidth="1"/>
    <col min="14611" max="14611" width="11.875" bestFit="1" customWidth="1"/>
    <col min="14612" max="14612" width="9.125" bestFit="1" customWidth="1"/>
    <col min="14613" max="14613" width="10.875" customWidth="1"/>
    <col min="14616" max="14616" width="18.75" customWidth="1"/>
    <col min="14617" max="14619" width="11.875" bestFit="1" customWidth="1"/>
    <col min="14620" max="14620" width="16.5" customWidth="1"/>
    <col min="14621" max="14623" width="11.875" bestFit="1" customWidth="1"/>
    <col min="14624" max="14624" width="10.625" customWidth="1"/>
    <col min="14849" max="14849" width="5.5" customWidth="1"/>
    <col min="14850" max="14850" width="29.75" customWidth="1"/>
    <col min="14851" max="14851" width="15.25" customWidth="1"/>
    <col min="14852" max="14852" width="13.875" customWidth="1"/>
    <col min="14853" max="14853" width="11.875" customWidth="1"/>
    <col min="14854" max="14856" width="11.875" bestFit="1" customWidth="1"/>
    <col min="14857" max="14857" width="9.875" bestFit="1" customWidth="1"/>
    <col min="14858" max="14858" width="10.625" customWidth="1"/>
    <col min="14861" max="14861" width="31.75" customWidth="1"/>
    <col min="14862" max="14862" width="10.125" customWidth="1"/>
    <col min="14863" max="14863" width="9.875" bestFit="1" customWidth="1"/>
    <col min="14864" max="14864" width="19.25" bestFit="1" customWidth="1"/>
    <col min="14865" max="14866" width="9.875" bestFit="1" customWidth="1"/>
    <col min="14867" max="14867" width="11.875" bestFit="1" customWidth="1"/>
    <col min="14868" max="14868" width="9.125" bestFit="1" customWidth="1"/>
    <col min="14869" max="14869" width="10.875" customWidth="1"/>
    <col min="14872" max="14872" width="18.75" customWidth="1"/>
    <col min="14873" max="14875" width="11.875" bestFit="1" customWidth="1"/>
    <col min="14876" max="14876" width="16.5" customWidth="1"/>
    <col min="14877" max="14879" width="11.875" bestFit="1" customWidth="1"/>
    <col min="14880" max="14880" width="10.625" customWidth="1"/>
    <col min="15105" max="15105" width="5.5" customWidth="1"/>
    <col min="15106" max="15106" width="29.75" customWidth="1"/>
    <col min="15107" max="15107" width="15.25" customWidth="1"/>
    <col min="15108" max="15108" width="13.875" customWidth="1"/>
    <col min="15109" max="15109" width="11.875" customWidth="1"/>
    <col min="15110" max="15112" width="11.875" bestFit="1" customWidth="1"/>
    <col min="15113" max="15113" width="9.875" bestFit="1" customWidth="1"/>
    <col min="15114" max="15114" width="10.625" customWidth="1"/>
    <col min="15117" max="15117" width="31.75" customWidth="1"/>
    <col min="15118" max="15118" width="10.125" customWidth="1"/>
    <col min="15119" max="15119" width="9.875" bestFit="1" customWidth="1"/>
    <col min="15120" max="15120" width="19.25" bestFit="1" customWidth="1"/>
    <col min="15121" max="15122" width="9.875" bestFit="1" customWidth="1"/>
    <col min="15123" max="15123" width="11.875" bestFit="1" customWidth="1"/>
    <col min="15124" max="15124" width="9.125" bestFit="1" customWidth="1"/>
    <col min="15125" max="15125" width="10.875" customWidth="1"/>
    <col min="15128" max="15128" width="18.75" customWidth="1"/>
    <col min="15129" max="15131" width="11.875" bestFit="1" customWidth="1"/>
    <col min="15132" max="15132" width="16.5" customWidth="1"/>
    <col min="15133" max="15135" width="11.875" bestFit="1" customWidth="1"/>
    <col min="15136" max="15136" width="10.625" customWidth="1"/>
    <col min="15361" max="15361" width="5.5" customWidth="1"/>
    <col min="15362" max="15362" width="29.75" customWidth="1"/>
    <col min="15363" max="15363" width="15.25" customWidth="1"/>
    <col min="15364" max="15364" width="13.875" customWidth="1"/>
    <col min="15365" max="15365" width="11.875" customWidth="1"/>
    <col min="15366" max="15368" width="11.875" bestFit="1" customWidth="1"/>
    <col min="15369" max="15369" width="9.875" bestFit="1" customWidth="1"/>
    <col min="15370" max="15370" width="10.625" customWidth="1"/>
    <col min="15373" max="15373" width="31.75" customWidth="1"/>
    <col min="15374" max="15374" width="10.125" customWidth="1"/>
    <col min="15375" max="15375" width="9.875" bestFit="1" customWidth="1"/>
    <col min="15376" max="15376" width="19.25" bestFit="1" customWidth="1"/>
    <col min="15377" max="15378" width="9.875" bestFit="1" customWidth="1"/>
    <col min="15379" max="15379" width="11.875" bestFit="1" customWidth="1"/>
    <col min="15380" max="15380" width="9.125" bestFit="1" customWidth="1"/>
    <col min="15381" max="15381" width="10.875" customWidth="1"/>
    <col min="15384" max="15384" width="18.75" customWidth="1"/>
    <col min="15385" max="15387" width="11.875" bestFit="1" customWidth="1"/>
    <col min="15388" max="15388" width="16.5" customWidth="1"/>
    <col min="15389" max="15391" width="11.875" bestFit="1" customWidth="1"/>
    <col min="15392" max="15392" width="10.625" customWidth="1"/>
    <col min="15617" max="15617" width="5.5" customWidth="1"/>
    <col min="15618" max="15618" width="29.75" customWidth="1"/>
    <col min="15619" max="15619" width="15.25" customWidth="1"/>
    <col min="15620" max="15620" width="13.875" customWidth="1"/>
    <col min="15621" max="15621" width="11.875" customWidth="1"/>
    <col min="15622" max="15624" width="11.875" bestFit="1" customWidth="1"/>
    <col min="15625" max="15625" width="9.875" bestFit="1" customWidth="1"/>
    <col min="15626" max="15626" width="10.625" customWidth="1"/>
    <col min="15629" max="15629" width="31.75" customWidth="1"/>
    <col min="15630" max="15630" width="10.125" customWidth="1"/>
    <col min="15631" max="15631" width="9.875" bestFit="1" customWidth="1"/>
    <col min="15632" max="15632" width="19.25" bestFit="1" customWidth="1"/>
    <col min="15633" max="15634" width="9.875" bestFit="1" customWidth="1"/>
    <col min="15635" max="15635" width="11.875" bestFit="1" customWidth="1"/>
    <col min="15636" max="15636" width="9.125" bestFit="1" customWidth="1"/>
    <col min="15637" max="15637" width="10.875" customWidth="1"/>
    <col min="15640" max="15640" width="18.75" customWidth="1"/>
    <col min="15641" max="15643" width="11.875" bestFit="1" customWidth="1"/>
    <col min="15644" max="15644" width="16.5" customWidth="1"/>
    <col min="15645" max="15647" width="11.875" bestFit="1" customWidth="1"/>
    <col min="15648" max="15648" width="10.625" customWidth="1"/>
    <col min="15873" max="15873" width="5.5" customWidth="1"/>
    <col min="15874" max="15874" width="29.75" customWidth="1"/>
    <col min="15875" max="15875" width="15.25" customWidth="1"/>
    <col min="15876" max="15876" width="13.875" customWidth="1"/>
    <col min="15877" max="15877" width="11.875" customWidth="1"/>
    <col min="15878" max="15880" width="11.875" bestFit="1" customWidth="1"/>
    <col min="15881" max="15881" width="9.875" bestFit="1" customWidth="1"/>
    <col min="15882" max="15882" width="10.625" customWidth="1"/>
    <col min="15885" max="15885" width="31.75" customWidth="1"/>
    <col min="15886" max="15886" width="10.125" customWidth="1"/>
    <col min="15887" max="15887" width="9.875" bestFit="1" customWidth="1"/>
    <col min="15888" max="15888" width="19.25" bestFit="1" customWidth="1"/>
    <col min="15889" max="15890" width="9.875" bestFit="1" customWidth="1"/>
    <col min="15891" max="15891" width="11.875" bestFit="1" customWidth="1"/>
    <col min="15892" max="15892" width="9.125" bestFit="1" customWidth="1"/>
    <col min="15893" max="15893" width="10.875" customWidth="1"/>
    <col min="15896" max="15896" width="18.75" customWidth="1"/>
    <col min="15897" max="15899" width="11.875" bestFit="1" customWidth="1"/>
    <col min="15900" max="15900" width="16.5" customWidth="1"/>
    <col min="15901" max="15903" width="11.875" bestFit="1" customWidth="1"/>
    <col min="15904" max="15904" width="10.625" customWidth="1"/>
    <col min="16129" max="16129" width="5.5" customWidth="1"/>
    <col min="16130" max="16130" width="29.75" customWidth="1"/>
    <col min="16131" max="16131" width="15.25" customWidth="1"/>
    <col min="16132" max="16132" width="13.875" customWidth="1"/>
    <col min="16133" max="16133" width="11.875" customWidth="1"/>
    <col min="16134" max="16136" width="11.875" bestFit="1" customWidth="1"/>
    <col min="16137" max="16137" width="9.875" bestFit="1" customWidth="1"/>
    <col min="16138" max="16138" width="10.625" customWidth="1"/>
    <col min="16141" max="16141" width="31.75" customWidth="1"/>
    <col min="16142" max="16142" width="10.125" customWidth="1"/>
    <col min="16143" max="16143" width="9.875" bestFit="1" customWidth="1"/>
    <col min="16144" max="16144" width="19.25" bestFit="1" customWidth="1"/>
    <col min="16145" max="16146" width="9.875" bestFit="1" customWidth="1"/>
    <col min="16147" max="16147" width="11.875" bestFit="1" customWidth="1"/>
    <col min="16148" max="16148" width="9.125" bestFit="1" customWidth="1"/>
    <col min="16149" max="16149" width="10.875" customWidth="1"/>
    <col min="16152" max="16152" width="18.75" customWidth="1"/>
    <col min="16153" max="16155" width="11.875" bestFit="1" customWidth="1"/>
    <col min="16156" max="16156" width="16.5" customWidth="1"/>
    <col min="16157" max="16159" width="11.875" bestFit="1" customWidth="1"/>
    <col min="16160" max="16160" width="10.625" customWidth="1"/>
  </cols>
  <sheetData>
    <row r="1" spans="1:32" ht="18" x14ac:dyDescent="0.25">
      <c r="B1" s="214"/>
      <c r="C1" s="237"/>
      <c r="D1" s="237"/>
      <c r="E1" s="237"/>
      <c r="F1" s="237"/>
      <c r="G1" s="237"/>
    </row>
    <row r="2" spans="1:32" ht="18" x14ac:dyDescent="0.25">
      <c r="B2" s="19"/>
    </row>
    <row r="3" spans="1:32" ht="18" x14ac:dyDescent="0.25">
      <c r="B3" s="23"/>
      <c r="C3" s="238" t="s">
        <v>445</v>
      </c>
      <c r="D3" s="238"/>
      <c r="E3" s="238"/>
      <c r="F3" s="238"/>
      <c r="G3" s="238"/>
      <c r="M3" s="238" t="s">
        <v>446</v>
      </c>
      <c r="N3" s="238"/>
      <c r="O3" s="238"/>
      <c r="P3" s="238"/>
      <c r="Q3" s="238"/>
      <c r="X3" s="238" t="s">
        <v>447</v>
      </c>
      <c r="Y3" s="238"/>
      <c r="Z3" s="238"/>
      <c r="AA3" s="238"/>
      <c r="AB3" s="238"/>
    </row>
    <row r="4" spans="1:32" ht="18" x14ac:dyDescent="0.25">
      <c r="B4" s="23"/>
      <c r="C4" s="238" t="s">
        <v>433</v>
      </c>
      <c r="D4" s="238"/>
      <c r="E4" s="238"/>
      <c r="F4" s="238"/>
      <c r="G4" s="238"/>
      <c r="M4" s="238" t="s">
        <v>416</v>
      </c>
      <c r="N4" s="238"/>
      <c r="O4" s="238"/>
      <c r="P4" s="238"/>
      <c r="Q4" s="238"/>
      <c r="X4" s="238" t="s">
        <v>448</v>
      </c>
      <c r="Y4" s="238"/>
      <c r="Z4" s="238"/>
      <c r="AA4" s="238"/>
      <c r="AB4" s="238"/>
    </row>
    <row r="5" spans="1:32" ht="36" x14ac:dyDescent="0.25">
      <c r="B5" s="47" t="s">
        <v>449</v>
      </c>
      <c r="C5" s="238" t="s">
        <v>450</v>
      </c>
      <c r="D5" s="238"/>
      <c r="E5" s="238"/>
      <c r="F5" s="238"/>
      <c r="G5" s="238"/>
      <c r="M5" s="238" t="s">
        <v>451</v>
      </c>
      <c r="N5" s="238"/>
      <c r="O5" s="238"/>
      <c r="P5" s="238"/>
      <c r="Q5" s="238"/>
      <c r="X5" s="238" t="s">
        <v>452</v>
      </c>
      <c r="Y5" s="238"/>
      <c r="Z5" s="238"/>
      <c r="AA5" s="238"/>
      <c r="AB5" s="238"/>
    </row>
    <row r="6" spans="1:32" ht="36" x14ac:dyDescent="0.25">
      <c r="B6" s="171" t="s">
        <v>453</v>
      </c>
      <c r="C6" s="239" t="s">
        <v>454</v>
      </c>
      <c r="D6" s="240"/>
      <c r="E6" s="240"/>
      <c r="F6" s="240"/>
      <c r="G6" s="241"/>
      <c r="M6" s="239" t="s">
        <v>418</v>
      </c>
      <c r="N6" s="240"/>
      <c r="O6" s="240"/>
      <c r="P6" s="240"/>
      <c r="Q6" s="241"/>
      <c r="X6" s="239" t="s">
        <v>455</v>
      </c>
      <c r="Y6" s="240"/>
      <c r="Z6" s="240"/>
      <c r="AA6" s="240"/>
      <c r="AB6" s="241"/>
    </row>
    <row r="7" spans="1:32" ht="18" x14ac:dyDescent="0.25">
      <c r="B7" s="171"/>
      <c r="C7" s="239" t="s">
        <v>441</v>
      </c>
      <c r="D7" s="240"/>
      <c r="E7" s="240"/>
      <c r="F7" s="240"/>
      <c r="G7" s="241"/>
      <c r="M7" s="239" t="s">
        <v>419</v>
      </c>
      <c r="N7" s="240"/>
      <c r="O7" s="240"/>
      <c r="P7" s="240"/>
      <c r="Q7" s="241"/>
      <c r="X7" s="239" t="s">
        <v>456</v>
      </c>
      <c r="Y7" s="240"/>
      <c r="Z7" s="240"/>
      <c r="AA7" s="240"/>
      <c r="AB7" s="241"/>
    </row>
    <row r="8" spans="1:32" ht="18" x14ac:dyDescent="0.25">
      <c r="B8" s="23"/>
      <c r="C8" s="238" t="s">
        <v>457</v>
      </c>
      <c r="D8" s="238"/>
      <c r="E8" s="238"/>
      <c r="F8" s="238"/>
      <c r="G8" s="238"/>
      <c r="M8" s="238" t="s">
        <v>420</v>
      </c>
      <c r="N8" s="238"/>
      <c r="O8" s="238"/>
      <c r="P8" s="238"/>
      <c r="Q8" s="238"/>
      <c r="X8" s="238" t="s">
        <v>431</v>
      </c>
      <c r="Y8" s="238"/>
      <c r="Z8" s="238"/>
      <c r="AA8" s="238"/>
      <c r="AB8" s="238"/>
    </row>
    <row r="9" spans="1:32" ht="18" x14ac:dyDescent="0.25">
      <c r="B9" s="20"/>
    </row>
    <row r="10" spans="1:32" ht="18" x14ac:dyDescent="0.25">
      <c r="B10" s="47" t="s">
        <v>292</v>
      </c>
      <c r="C10" s="77"/>
      <c r="D10" s="222" t="s">
        <v>293</v>
      </c>
      <c r="E10" s="222"/>
      <c r="F10" s="80"/>
      <c r="G10" s="78" t="s">
        <v>299</v>
      </c>
      <c r="H10" s="81"/>
      <c r="I10" s="177" t="s">
        <v>458</v>
      </c>
      <c r="J10" s="178"/>
      <c r="M10" s="47" t="s">
        <v>292</v>
      </c>
      <c r="N10" s="77"/>
      <c r="O10" s="222" t="s">
        <v>293</v>
      </c>
      <c r="P10" s="222"/>
      <c r="Q10" s="80"/>
      <c r="R10" s="78" t="s">
        <v>299</v>
      </c>
      <c r="S10" s="81"/>
      <c r="T10" s="177" t="s">
        <v>458</v>
      </c>
      <c r="U10" s="178"/>
      <c r="X10" s="47" t="s">
        <v>292</v>
      </c>
      <c r="Y10" s="77"/>
      <c r="Z10" s="222" t="s">
        <v>293</v>
      </c>
      <c r="AA10" s="222"/>
      <c r="AB10" s="80"/>
      <c r="AC10" s="78" t="s">
        <v>299</v>
      </c>
      <c r="AD10" s="81"/>
      <c r="AE10" s="177" t="s">
        <v>458</v>
      </c>
      <c r="AF10" s="178"/>
    </row>
    <row r="11" spans="1:32" ht="25.5" x14ac:dyDescent="0.25">
      <c r="B11" s="47" t="s">
        <v>17</v>
      </c>
      <c r="C11" s="85" t="s">
        <v>294</v>
      </c>
      <c r="D11" s="86" t="s">
        <v>295</v>
      </c>
      <c r="E11" s="86" t="s">
        <v>296</v>
      </c>
      <c r="F11" s="75" t="s">
        <v>297</v>
      </c>
      <c r="G11" s="73" t="s">
        <v>298</v>
      </c>
      <c r="H11" s="73" t="s">
        <v>295</v>
      </c>
      <c r="I11" s="179"/>
      <c r="J11" s="180"/>
      <c r="M11" s="47" t="s">
        <v>17</v>
      </c>
      <c r="N11" s="85" t="s">
        <v>294</v>
      </c>
      <c r="O11" s="86" t="s">
        <v>295</v>
      </c>
      <c r="P11" s="86" t="s">
        <v>296</v>
      </c>
      <c r="Q11" s="75" t="s">
        <v>297</v>
      </c>
      <c r="R11" s="73" t="s">
        <v>298</v>
      </c>
      <c r="S11" s="73" t="s">
        <v>295</v>
      </c>
      <c r="T11" s="179"/>
      <c r="U11" s="180"/>
      <c r="X11" s="47" t="s">
        <v>17</v>
      </c>
      <c r="Y11" s="85" t="s">
        <v>294</v>
      </c>
      <c r="Z11" s="86" t="s">
        <v>295</v>
      </c>
      <c r="AA11" s="86" t="s">
        <v>296</v>
      </c>
      <c r="AB11" s="75" t="s">
        <v>297</v>
      </c>
      <c r="AC11" s="73" t="s">
        <v>298</v>
      </c>
      <c r="AD11" s="73" t="s">
        <v>295</v>
      </c>
      <c r="AE11" s="179"/>
      <c r="AF11" s="180"/>
    </row>
    <row r="12" spans="1:32" ht="42.75" x14ac:dyDescent="0.15">
      <c r="A12" s="22">
        <v>1</v>
      </c>
      <c r="B12" s="44" t="s">
        <v>459</v>
      </c>
      <c r="C12" s="188">
        <v>200</v>
      </c>
      <c r="D12" s="188">
        <v>800</v>
      </c>
      <c r="E12" s="188">
        <v>400</v>
      </c>
      <c r="F12" s="188">
        <v>400</v>
      </c>
      <c r="G12" s="188">
        <v>200</v>
      </c>
      <c r="H12" s="189">
        <v>800</v>
      </c>
      <c r="I12" s="190"/>
      <c r="J12" s="191"/>
      <c r="M12" s="44" t="s">
        <v>459</v>
      </c>
      <c r="N12" s="126">
        <v>450</v>
      </c>
      <c r="O12" s="126">
        <v>325</v>
      </c>
      <c r="P12" s="126">
        <v>100</v>
      </c>
      <c r="Q12" s="126">
        <v>325</v>
      </c>
      <c r="R12" s="126">
        <v>105</v>
      </c>
      <c r="S12" s="255">
        <v>625</v>
      </c>
      <c r="T12" s="195"/>
      <c r="U12" s="196"/>
      <c r="X12" s="44" t="s">
        <v>459</v>
      </c>
      <c r="Y12" s="188">
        <v>240</v>
      </c>
      <c r="Z12" s="188">
        <v>360</v>
      </c>
      <c r="AA12" s="188">
        <v>360</v>
      </c>
      <c r="AB12" s="188">
        <v>500</v>
      </c>
      <c r="AC12" s="188">
        <v>120</v>
      </c>
      <c r="AD12" s="189">
        <v>360</v>
      </c>
      <c r="AE12" s="190"/>
      <c r="AF12" s="191"/>
    </row>
    <row r="13" spans="1:32" ht="29.25" thickBot="1" x14ac:dyDescent="0.2">
      <c r="A13" s="22">
        <v>2</v>
      </c>
      <c r="B13" s="45" t="s">
        <v>460</v>
      </c>
      <c r="C13" s="188">
        <v>200</v>
      </c>
      <c r="D13" s="188">
        <v>400</v>
      </c>
      <c r="E13" s="188" t="s">
        <v>319</v>
      </c>
      <c r="F13" s="188">
        <v>400</v>
      </c>
      <c r="G13" s="188">
        <v>200</v>
      </c>
      <c r="H13" s="189">
        <v>400</v>
      </c>
      <c r="I13" s="190"/>
      <c r="J13" s="191"/>
      <c r="M13" s="45" t="s">
        <v>460</v>
      </c>
      <c r="N13" s="126">
        <v>450</v>
      </c>
      <c r="O13" s="126">
        <v>325</v>
      </c>
      <c r="P13" s="126">
        <v>100</v>
      </c>
      <c r="Q13" s="126">
        <v>325</v>
      </c>
      <c r="R13" s="126">
        <v>105</v>
      </c>
      <c r="S13" s="255">
        <v>255</v>
      </c>
      <c r="T13" s="195"/>
      <c r="U13" s="196"/>
      <c r="X13" s="45" t="s">
        <v>460</v>
      </c>
      <c r="Y13" s="188">
        <v>240</v>
      </c>
      <c r="Z13" s="188">
        <v>360</v>
      </c>
      <c r="AA13" s="188">
        <v>360</v>
      </c>
      <c r="AB13" s="188">
        <v>500</v>
      </c>
      <c r="AC13" s="188">
        <v>120</v>
      </c>
      <c r="AD13" s="189">
        <v>360</v>
      </c>
      <c r="AE13" s="190"/>
      <c r="AF13" s="191"/>
    </row>
    <row r="14" spans="1:32" ht="43.5" thickBot="1" x14ac:dyDescent="0.2">
      <c r="A14" s="22">
        <v>3</v>
      </c>
      <c r="B14" s="45" t="s">
        <v>461</v>
      </c>
      <c r="C14" s="188">
        <v>200</v>
      </c>
      <c r="D14" s="188">
        <v>400</v>
      </c>
      <c r="E14" s="188" t="s">
        <v>319</v>
      </c>
      <c r="F14" s="188">
        <v>400</v>
      </c>
      <c r="G14" s="188">
        <v>200</v>
      </c>
      <c r="H14" s="189">
        <v>400</v>
      </c>
      <c r="I14" s="190"/>
      <c r="J14" s="191"/>
      <c r="M14" s="45" t="s">
        <v>461</v>
      </c>
      <c r="N14" s="126" t="s">
        <v>319</v>
      </c>
      <c r="O14" s="126" t="s">
        <v>319</v>
      </c>
      <c r="P14" s="126" t="s">
        <v>319</v>
      </c>
      <c r="Q14" s="126" t="s">
        <v>319</v>
      </c>
      <c r="R14" s="126">
        <v>140</v>
      </c>
      <c r="S14" s="255">
        <v>240</v>
      </c>
      <c r="T14" s="195"/>
      <c r="U14" s="196"/>
      <c r="X14" s="45" t="s">
        <v>461</v>
      </c>
      <c r="Y14" s="188">
        <v>240</v>
      </c>
      <c r="Z14" s="188">
        <v>240</v>
      </c>
      <c r="AA14" s="188">
        <v>360</v>
      </c>
      <c r="AB14" s="188">
        <v>500</v>
      </c>
      <c r="AC14" s="188">
        <v>120</v>
      </c>
      <c r="AD14" s="189">
        <v>240</v>
      </c>
      <c r="AE14" s="190"/>
      <c r="AF14" s="191"/>
    </row>
    <row r="15" spans="1:32" ht="43.5" thickBot="1" x14ac:dyDescent="0.2">
      <c r="A15" s="22">
        <v>4</v>
      </c>
      <c r="B15" s="45" t="s">
        <v>462</v>
      </c>
      <c r="C15" s="188">
        <v>300</v>
      </c>
      <c r="D15" s="188">
        <v>1200</v>
      </c>
      <c r="E15" s="188" t="s">
        <v>319</v>
      </c>
      <c r="F15" s="188">
        <v>400</v>
      </c>
      <c r="G15" s="188">
        <v>200</v>
      </c>
      <c r="H15" s="189">
        <v>1200</v>
      </c>
      <c r="I15" s="190"/>
      <c r="J15" s="191"/>
      <c r="M15" s="45" t="s">
        <v>462</v>
      </c>
      <c r="N15" s="126">
        <v>450</v>
      </c>
      <c r="O15" s="126">
        <v>425</v>
      </c>
      <c r="P15" s="126" t="s">
        <v>319</v>
      </c>
      <c r="Q15" s="126">
        <v>325</v>
      </c>
      <c r="R15" s="126">
        <v>220</v>
      </c>
      <c r="S15" s="255">
        <v>760</v>
      </c>
      <c r="T15" s="195"/>
      <c r="U15" s="196"/>
      <c r="X15" s="45" t="s">
        <v>462</v>
      </c>
      <c r="Y15" s="188">
        <v>360</v>
      </c>
      <c r="Z15" s="188">
        <v>480</v>
      </c>
      <c r="AA15" s="188" t="s">
        <v>319</v>
      </c>
      <c r="AB15" s="188">
        <v>500</v>
      </c>
      <c r="AC15" s="188">
        <v>240</v>
      </c>
      <c r="AD15" s="189">
        <v>720</v>
      </c>
      <c r="AE15" s="190"/>
      <c r="AF15" s="191"/>
    </row>
    <row r="16" spans="1:32" ht="43.5" thickBot="1" x14ac:dyDescent="0.2">
      <c r="A16" s="22">
        <v>5</v>
      </c>
      <c r="B16" s="45" t="s">
        <v>463</v>
      </c>
      <c r="C16" s="188">
        <v>200</v>
      </c>
      <c r="D16" s="188">
        <v>400</v>
      </c>
      <c r="E16" s="188" t="s">
        <v>319</v>
      </c>
      <c r="F16" s="188">
        <v>400</v>
      </c>
      <c r="G16" s="188">
        <v>200</v>
      </c>
      <c r="H16" s="189">
        <v>400</v>
      </c>
      <c r="I16" s="190"/>
      <c r="J16" s="191"/>
      <c r="M16" s="45" t="s">
        <v>463</v>
      </c>
      <c r="N16" s="126" t="s">
        <v>319</v>
      </c>
      <c r="O16" s="126" t="s">
        <v>319</v>
      </c>
      <c r="P16" s="126" t="s">
        <v>319</v>
      </c>
      <c r="Q16" s="126" t="s">
        <v>319</v>
      </c>
      <c r="R16" s="126">
        <v>105</v>
      </c>
      <c r="S16" s="255">
        <v>280</v>
      </c>
      <c r="T16" s="195"/>
      <c r="U16" s="196"/>
      <c r="X16" s="45" t="s">
        <v>463</v>
      </c>
      <c r="Y16" s="188">
        <v>240</v>
      </c>
      <c r="Z16" s="188">
        <v>360</v>
      </c>
      <c r="AA16" s="188" t="s">
        <v>319</v>
      </c>
      <c r="AB16" s="188">
        <v>500</v>
      </c>
      <c r="AC16" s="188">
        <v>120</v>
      </c>
      <c r="AD16" s="189">
        <v>240</v>
      </c>
      <c r="AE16" s="190"/>
      <c r="AF16" s="191"/>
    </row>
    <row r="17" spans="1:32" ht="57.75" thickBot="1" x14ac:dyDescent="0.2">
      <c r="A17" s="22">
        <v>6</v>
      </c>
      <c r="B17" s="45" t="s">
        <v>464</v>
      </c>
      <c r="C17" s="188" t="s">
        <v>319</v>
      </c>
      <c r="D17" s="188" t="s">
        <v>319</v>
      </c>
      <c r="E17" s="188" t="s">
        <v>319</v>
      </c>
      <c r="F17" s="188">
        <v>400</v>
      </c>
      <c r="G17" s="188">
        <v>800</v>
      </c>
      <c r="H17" s="189">
        <v>800</v>
      </c>
      <c r="I17" s="190"/>
      <c r="J17" s="191"/>
      <c r="M17" s="45" t="s">
        <v>464</v>
      </c>
      <c r="N17" s="126" t="s">
        <v>319</v>
      </c>
      <c r="O17" s="126" t="s">
        <v>319</v>
      </c>
      <c r="P17" s="126" t="s">
        <v>319</v>
      </c>
      <c r="Q17" s="126" t="s">
        <v>319</v>
      </c>
      <c r="R17" s="126">
        <v>0</v>
      </c>
      <c r="S17" s="126" t="s">
        <v>319</v>
      </c>
      <c r="T17" s="195"/>
      <c r="U17" s="196"/>
      <c r="X17" s="45" t="s">
        <v>464</v>
      </c>
      <c r="Y17" s="188">
        <v>480</v>
      </c>
      <c r="Z17" s="188">
        <v>960</v>
      </c>
      <c r="AA17" s="188" t="s">
        <v>319</v>
      </c>
      <c r="AB17" s="188" t="s">
        <v>319</v>
      </c>
      <c r="AC17" s="188">
        <v>120</v>
      </c>
      <c r="AD17" s="189">
        <v>240</v>
      </c>
      <c r="AE17" s="190"/>
      <c r="AF17" s="191"/>
    </row>
    <row r="18" spans="1:32" ht="29.25" thickBot="1" x14ac:dyDescent="0.2">
      <c r="A18" s="22">
        <v>7</v>
      </c>
      <c r="B18" s="45" t="s">
        <v>465</v>
      </c>
      <c r="C18" s="188" t="s">
        <v>319</v>
      </c>
      <c r="D18" s="188">
        <v>800</v>
      </c>
      <c r="E18" s="188" t="s">
        <v>319</v>
      </c>
      <c r="F18" s="188">
        <v>400</v>
      </c>
      <c r="G18" s="188">
        <v>200</v>
      </c>
      <c r="H18" s="189">
        <v>800</v>
      </c>
      <c r="I18" s="189">
        <v>200</v>
      </c>
      <c r="J18" s="192"/>
      <c r="M18" s="45" t="s">
        <v>465</v>
      </c>
      <c r="N18" s="126">
        <v>450</v>
      </c>
      <c r="O18" s="126">
        <v>325</v>
      </c>
      <c r="P18" s="126">
        <v>100</v>
      </c>
      <c r="Q18" s="126">
        <v>325</v>
      </c>
      <c r="R18" s="126">
        <v>75</v>
      </c>
      <c r="S18" s="255">
        <v>75</v>
      </c>
      <c r="T18" s="256">
        <v>26.67</v>
      </c>
      <c r="U18" s="197"/>
      <c r="X18" s="45" t="s">
        <v>465</v>
      </c>
      <c r="Y18" s="188" t="s">
        <v>319</v>
      </c>
      <c r="Z18" s="188">
        <v>360</v>
      </c>
      <c r="AA18" s="188" t="s">
        <v>319</v>
      </c>
      <c r="AB18" s="188" t="s">
        <v>319</v>
      </c>
      <c r="AC18" s="188">
        <v>120</v>
      </c>
      <c r="AD18" s="189">
        <v>240</v>
      </c>
      <c r="AE18" s="189">
        <v>1440</v>
      </c>
      <c r="AF18" s="192"/>
    </row>
    <row r="19" spans="1:32" ht="43.5" thickBot="1" x14ac:dyDescent="0.2">
      <c r="A19" s="22">
        <v>8</v>
      </c>
      <c r="B19" s="45" t="s">
        <v>466</v>
      </c>
      <c r="C19" s="188">
        <v>200</v>
      </c>
      <c r="D19" s="188">
        <v>1200</v>
      </c>
      <c r="E19" s="188" t="s">
        <v>319</v>
      </c>
      <c r="F19" s="188">
        <v>400</v>
      </c>
      <c r="G19" s="188">
        <v>200</v>
      </c>
      <c r="H19" s="189">
        <v>1200</v>
      </c>
      <c r="I19" s="190"/>
      <c r="J19" s="191"/>
      <c r="M19" s="45" t="s">
        <v>466</v>
      </c>
      <c r="N19" s="126">
        <v>450</v>
      </c>
      <c r="O19" s="126">
        <v>325</v>
      </c>
      <c r="P19" s="126">
        <v>100</v>
      </c>
      <c r="Q19" s="126">
        <v>325</v>
      </c>
      <c r="R19" s="126">
        <v>220</v>
      </c>
      <c r="S19" s="255">
        <v>760</v>
      </c>
      <c r="T19" s="252"/>
      <c r="U19" s="196"/>
      <c r="X19" s="45" t="s">
        <v>466</v>
      </c>
      <c r="Y19" s="188" t="s">
        <v>319</v>
      </c>
      <c r="Z19" s="188" t="s">
        <v>319</v>
      </c>
      <c r="AA19" s="188" t="s">
        <v>319</v>
      </c>
      <c r="AB19" s="188" t="s">
        <v>319</v>
      </c>
      <c r="AC19" s="188">
        <v>240</v>
      </c>
      <c r="AD19" s="189">
        <v>360</v>
      </c>
      <c r="AE19" s="190"/>
      <c r="AF19" s="191"/>
    </row>
    <row r="20" spans="1:32" ht="57.75" thickBot="1" x14ac:dyDescent="0.25">
      <c r="A20" s="22">
        <v>9</v>
      </c>
      <c r="B20" s="46" t="s">
        <v>467</v>
      </c>
      <c r="C20" s="188" t="s">
        <v>319</v>
      </c>
      <c r="D20" s="188" t="s">
        <v>319</v>
      </c>
      <c r="E20" s="188" t="s">
        <v>319</v>
      </c>
      <c r="F20" s="188">
        <v>400</v>
      </c>
      <c r="G20" s="188">
        <v>200</v>
      </c>
      <c r="H20" s="189">
        <v>400</v>
      </c>
      <c r="I20" s="190"/>
      <c r="J20" s="191"/>
      <c r="M20" s="46" t="s">
        <v>467</v>
      </c>
      <c r="N20" s="126">
        <v>375</v>
      </c>
      <c r="O20" s="126">
        <v>200</v>
      </c>
      <c r="P20" s="126">
        <v>100</v>
      </c>
      <c r="Q20" s="126">
        <v>325</v>
      </c>
      <c r="R20" s="126">
        <v>75</v>
      </c>
      <c r="S20" s="255">
        <v>150</v>
      </c>
      <c r="T20" s="195"/>
      <c r="U20" s="196"/>
      <c r="X20" s="46" t="s">
        <v>467</v>
      </c>
      <c r="Y20" s="188" t="s">
        <v>319</v>
      </c>
      <c r="Z20" s="188" t="s">
        <v>319</v>
      </c>
      <c r="AA20" s="188" t="s">
        <v>319</v>
      </c>
      <c r="AB20" s="188" t="s">
        <v>319</v>
      </c>
      <c r="AC20" s="188">
        <v>120</v>
      </c>
      <c r="AD20" s="189">
        <v>240</v>
      </c>
      <c r="AE20" s="209"/>
      <c r="AF20" s="191"/>
    </row>
    <row r="21" spans="1:32" ht="43.5" thickBot="1" x14ac:dyDescent="0.25">
      <c r="A21" s="22">
        <v>10</v>
      </c>
      <c r="B21" s="46" t="s">
        <v>468</v>
      </c>
      <c r="C21" s="188">
        <v>200</v>
      </c>
      <c r="D21" s="188">
        <v>1200</v>
      </c>
      <c r="E21" s="188" t="s">
        <v>319</v>
      </c>
      <c r="F21" s="188">
        <v>400</v>
      </c>
      <c r="G21" s="188">
        <v>200</v>
      </c>
      <c r="H21" s="189">
        <v>1200</v>
      </c>
      <c r="I21" s="190"/>
      <c r="J21" s="191"/>
      <c r="M21" s="46" t="s">
        <v>468</v>
      </c>
      <c r="N21" s="126">
        <v>375</v>
      </c>
      <c r="O21" s="126">
        <v>150</v>
      </c>
      <c r="P21" s="126" t="s">
        <v>319</v>
      </c>
      <c r="Q21" s="126">
        <v>325</v>
      </c>
      <c r="R21" s="126">
        <v>2010</v>
      </c>
      <c r="S21" s="255">
        <v>2010</v>
      </c>
      <c r="T21" s="195"/>
      <c r="U21" s="196"/>
      <c r="X21" s="46" t="s">
        <v>468</v>
      </c>
      <c r="Y21" s="188">
        <v>240</v>
      </c>
      <c r="Z21" s="188">
        <v>360</v>
      </c>
      <c r="AA21" s="188">
        <v>360</v>
      </c>
      <c r="AB21" s="188">
        <v>500</v>
      </c>
      <c r="AC21" s="188">
        <v>240</v>
      </c>
      <c r="AD21" s="189">
        <v>480</v>
      </c>
      <c r="AE21" s="190"/>
      <c r="AF21" s="191"/>
    </row>
    <row r="22" spans="1:32" ht="43.5" thickBot="1" x14ac:dyDescent="0.25">
      <c r="A22" s="22">
        <v>11</v>
      </c>
      <c r="B22" s="46" t="s">
        <v>469</v>
      </c>
      <c r="C22" s="188">
        <v>200</v>
      </c>
      <c r="D22" s="188">
        <v>800</v>
      </c>
      <c r="E22" s="188" t="s">
        <v>319</v>
      </c>
      <c r="F22" s="188">
        <v>400</v>
      </c>
      <c r="G22" s="188">
        <v>200</v>
      </c>
      <c r="H22" s="189">
        <v>800</v>
      </c>
      <c r="I22" s="190"/>
      <c r="J22" s="191"/>
      <c r="M22" s="46" t="s">
        <v>469</v>
      </c>
      <c r="N22" s="126">
        <v>450</v>
      </c>
      <c r="O22" s="126">
        <v>175</v>
      </c>
      <c r="P22" s="126" t="s">
        <v>319</v>
      </c>
      <c r="Q22" s="126">
        <v>325</v>
      </c>
      <c r="R22" s="126">
        <v>280</v>
      </c>
      <c r="S22" s="255">
        <v>280</v>
      </c>
      <c r="T22" s="195"/>
      <c r="U22" s="196"/>
      <c r="X22" s="46" t="s">
        <v>469</v>
      </c>
      <c r="Y22" s="188">
        <v>240</v>
      </c>
      <c r="Z22" s="188">
        <v>360</v>
      </c>
      <c r="AA22" s="188" t="s">
        <v>319</v>
      </c>
      <c r="AB22" s="188">
        <v>500</v>
      </c>
      <c r="AC22" s="188">
        <v>120</v>
      </c>
      <c r="AD22" s="189">
        <v>360</v>
      </c>
      <c r="AE22" s="190"/>
      <c r="AF22" s="191"/>
    </row>
    <row r="23" spans="1:32" ht="43.5" thickBot="1" x14ac:dyDescent="0.25">
      <c r="A23" s="22">
        <v>12</v>
      </c>
      <c r="B23" s="46" t="s">
        <v>470</v>
      </c>
      <c r="C23" s="188" t="s">
        <v>319</v>
      </c>
      <c r="D23" s="188" t="s">
        <v>319</v>
      </c>
      <c r="E23" s="188" t="s">
        <v>319</v>
      </c>
      <c r="F23" s="188">
        <v>400</v>
      </c>
      <c r="G23" s="188">
        <v>200</v>
      </c>
      <c r="H23" s="189">
        <v>400</v>
      </c>
      <c r="I23" s="190"/>
      <c r="J23" s="191"/>
      <c r="M23" s="46" t="s">
        <v>470</v>
      </c>
      <c r="N23" s="126" t="s">
        <v>319</v>
      </c>
      <c r="O23" s="126" t="s">
        <v>319</v>
      </c>
      <c r="P23" s="126" t="s">
        <v>319</v>
      </c>
      <c r="Q23" s="126" t="s">
        <v>319</v>
      </c>
      <c r="R23" s="126">
        <v>150</v>
      </c>
      <c r="S23" s="255">
        <v>150</v>
      </c>
      <c r="T23" s="195"/>
      <c r="U23" s="196"/>
      <c r="X23" s="46" t="s">
        <v>470</v>
      </c>
      <c r="Y23" s="188" t="s">
        <v>319</v>
      </c>
      <c r="Z23" s="188" t="s">
        <v>319</v>
      </c>
      <c r="AA23" s="188" t="s">
        <v>319</v>
      </c>
      <c r="AB23" s="188" t="s">
        <v>319</v>
      </c>
      <c r="AC23" s="188">
        <v>60</v>
      </c>
      <c r="AD23" s="189">
        <v>120</v>
      </c>
      <c r="AE23" s="190"/>
      <c r="AF23" s="191"/>
    </row>
    <row r="24" spans="1:32" ht="43.5" thickBot="1" x14ac:dyDescent="0.25">
      <c r="A24" s="22">
        <v>13</v>
      </c>
      <c r="B24" s="46" t="s">
        <v>471</v>
      </c>
      <c r="C24" s="188" t="s">
        <v>319</v>
      </c>
      <c r="D24" s="188" t="s">
        <v>319</v>
      </c>
      <c r="E24" s="188" t="s">
        <v>319</v>
      </c>
      <c r="F24" s="188" t="s">
        <v>319</v>
      </c>
      <c r="G24" s="188" t="s">
        <v>319</v>
      </c>
      <c r="H24" s="188" t="s">
        <v>319</v>
      </c>
      <c r="I24" s="193"/>
      <c r="J24" s="194"/>
      <c r="M24" s="46" t="s">
        <v>471</v>
      </c>
      <c r="N24" s="126" t="s">
        <v>319</v>
      </c>
      <c r="O24" s="126" t="s">
        <v>319</v>
      </c>
      <c r="P24" s="126" t="s">
        <v>319</v>
      </c>
      <c r="Q24" s="126" t="s">
        <v>319</v>
      </c>
      <c r="R24" s="126">
        <v>0</v>
      </c>
      <c r="S24" s="126" t="s">
        <v>319</v>
      </c>
      <c r="T24" s="198"/>
      <c r="U24" s="199"/>
      <c r="X24" s="46" t="s">
        <v>471</v>
      </c>
      <c r="Y24" s="188" t="s">
        <v>319</v>
      </c>
      <c r="Z24" s="188" t="s">
        <v>319</v>
      </c>
      <c r="AA24" s="188" t="s">
        <v>319</v>
      </c>
      <c r="AB24" s="188" t="s">
        <v>319</v>
      </c>
      <c r="AC24" s="188" t="s">
        <v>319</v>
      </c>
      <c r="AD24" s="188" t="s">
        <v>319</v>
      </c>
      <c r="AE24" s="193"/>
      <c r="AF24" s="194"/>
    </row>
    <row r="25" spans="1:32" x14ac:dyDescent="0.15">
      <c r="A25" s="22"/>
      <c r="C25" s="205"/>
      <c r="D25" s="205"/>
      <c r="E25" s="205"/>
      <c r="F25" s="205"/>
      <c r="G25" s="205"/>
      <c r="H25" s="205"/>
      <c r="I25" s="205"/>
      <c r="J25" s="205"/>
      <c r="N25" s="200"/>
      <c r="O25" s="200"/>
      <c r="P25" s="200"/>
      <c r="Q25" s="200"/>
      <c r="R25" s="200"/>
      <c r="S25" s="200"/>
      <c r="T25" s="200"/>
      <c r="U25" s="200"/>
      <c r="Y25" s="205"/>
      <c r="Z25" s="205"/>
      <c r="AA25" s="205"/>
      <c r="AB25" s="205"/>
      <c r="AC25" s="205"/>
      <c r="AD25" s="205"/>
      <c r="AE25" s="205"/>
      <c r="AF25" s="205"/>
    </row>
    <row r="26" spans="1:32" ht="15.75" x14ac:dyDescent="0.25">
      <c r="A26" s="22"/>
      <c r="B26" s="50" t="s">
        <v>2</v>
      </c>
      <c r="C26" s="206">
        <v>1700</v>
      </c>
      <c r="D26" s="206">
        <v>7200</v>
      </c>
      <c r="E26" s="206">
        <v>400</v>
      </c>
      <c r="F26" s="206">
        <v>4800</v>
      </c>
      <c r="G26" s="206">
        <v>3000</v>
      </c>
      <c r="H26" s="206">
        <v>8800</v>
      </c>
      <c r="I26" s="206">
        <v>200</v>
      </c>
      <c r="J26" s="206"/>
      <c r="M26" s="50" t="s">
        <v>2</v>
      </c>
      <c r="N26" s="257">
        <v>3450</v>
      </c>
      <c r="O26" s="257">
        <v>2250</v>
      </c>
      <c r="P26" s="257">
        <v>500</v>
      </c>
      <c r="Q26" s="257">
        <v>2600</v>
      </c>
      <c r="R26" s="257">
        <v>3485</v>
      </c>
      <c r="S26" s="257">
        <v>5585</v>
      </c>
      <c r="T26" s="257">
        <v>26.67</v>
      </c>
      <c r="U26" s="257"/>
      <c r="X26" s="50" t="s">
        <v>2</v>
      </c>
      <c r="Y26" s="206">
        <v>2280</v>
      </c>
      <c r="Z26" s="206">
        <v>3840</v>
      </c>
      <c r="AA26" s="206">
        <v>1440</v>
      </c>
      <c r="AB26" s="206">
        <v>3500</v>
      </c>
      <c r="AC26" s="206">
        <v>1740</v>
      </c>
      <c r="AD26" s="206">
        <v>3960</v>
      </c>
      <c r="AE26" s="206">
        <v>1440</v>
      </c>
      <c r="AF26" s="206"/>
    </row>
    <row r="27" spans="1:32" x14ac:dyDescent="0.15">
      <c r="A27" s="22"/>
      <c r="N27" s="200"/>
      <c r="O27" s="200"/>
      <c r="P27" s="200"/>
      <c r="Q27" s="200"/>
      <c r="R27" s="200"/>
      <c r="S27" s="200"/>
      <c r="T27" s="200"/>
      <c r="U27" s="200"/>
      <c r="Y27" s="181"/>
      <c r="Z27" s="181"/>
      <c r="AA27" s="181"/>
      <c r="AB27" s="181"/>
      <c r="AC27" s="181"/>
      <c r="AD27" s="181"/>
      <c r="AE27" s="181"/>
      <c r="AF27" s="181"/>
    </row>
    <row r="28" spans="1:32" x14ac:dyDescent="0.15">
      <c r="A28" s="22"/>
      <c r="N28" s="200"/>
      <c r="O28" s="200"/>
      <c r="P28" s="200"/>
      <c r="Q28" s="200"/>
      <c r="R28" s="200"/>
      <c r="S28" s="200"/>
      <c r="T28" s="200"/>
      <c r="U28" s="200"/>
      <c r="Y28" s="181"/>
      <c r="Z28" s="181"/>
      <c r="AA28" s="181"/>
      <c r="AB28" s="181"/>
      <c r="AC28" s="181"/>
      <c r="AD28" s="181"/>
      <c r="AE28" s="181"/>
      <c r="AF28" s="181"/>
    </row>
    <row r="29" spans="1:32" ht="15" x14ac:dyDescent="0.25">
      <c r="A29" s="22"/>
      <c r="B29" s="3" t="s">
        <v>4</v>
      </c>
      <c r="C29" s="4" t="s">
        <v>5</v>
      </c>
      <c r="D29" s="4" t="s">
        <v>6</v>
      </c>
      <c r="E29" s="10" t="s">
        <v>7</v>
      </c>
      <c r="M29" s="3" t="s">
        <v>4</v>
      </c>
      <c r="N29" s="201" t="s">
        <v>5</v>
      </c>
      <c r="O29" s="201" t="s">
        <v>6</v>
      </c>
      <c r="P29" s="201" t="s">
        <v>7</v>
      </c>
      <c r="Q29" s="200"/>
      <c r="R29" s="200"/>
      <c r="S29" s="200"/>
      <c r="T29" s="200"/>
      <c r="U29" s="200"/>
      <c r="X29" s="3" t="s">
        <v>4</v>
      </c>
      <c r="Y29" s="182" t="s">
        <v>5</v>
      </c>
      <c r="Z29" s="182" t="s">
        <v>6</v>
      </c>
      <c r="AA29" s="183" t="s">
        <v>7</v>
      </c>
      <c r="AB29" s="181"/>
      <c r="AC29" s="181"/>
      <c r="AD29" s="181"/>
      <c r="AE29" s="181"/>
      <c r="AF29" s="181"/>
    </row>
    <row r="30" spans="1:32" ht="14.25" x14ac:dyDescent="0.2">
      <c r="A30" s="22"/>
      <c r="B30" s="3"/>
      <c r="C30" s="207">
        <v>150</v>
      </c>
      <c r="D30" s="207">
        <v>200</v>
      </c>
      <c r="E30" s="207">
        <v>150</v>
      </c>
      <c r="M30" s="3"/>
      <c r="N30" s="258">
        <v>176.44</v>
      </c>
      <c r="O30" s="258">
        <v>176.44</v>
      </c>
      <c r="P30" s="258">
        <v>143.16</v>
      </c>
      <c r="Q30" s="200"/>
      <c r="R30" s="200"/>
      <c r="S30" s="200"/>
      <c r="T30" s="200"/>
      <c r="U30" s="200"/>
      <c r="X30" s="3"/>
      <c r="Y30" s="208">
        <v>180</v>
      </c>
      <c r="Z30" s="208">
        <v>240</v>
      </c>
      <c r="AA30" s="208">
        <v>180</v>
      </c>
      <c r="AB30" s="181"/>
      <c r="AC30" s="181"/>
      <c r="AD30" s="181"/>
      <c r="AE30" s="181"/>
      <c r="AF30" s="181"/>
    </row>
    <row r="31" spans="1:32" ht="14.25" x14ac:dyDescent="0.2">
      <c r="B31" s="3"/>
      <c r="M31" s="3"/>
      <c r="X31" s="3"/>
    </row>
    <row r="32" spans="1:32" ht="14.25" x14ac:dyDescent="0.2">
      <c r="B32" s="3" t="s">
        <v>10</v>
      </c>
      <c r="C32" s="223"/>
      <c r="D32" s="224"/>
      <c r="E32" s="225"/>
      <c r="M32" s="3" t="s">
        <v>10</v>
      </c>
      <c r="N32" s="223"/>
      <c r="O32" s="224"/>
      <c r="P32" s="225"/>
      <c r="X32" s="3" t="s">
        <v>10</v>
      </c>
      <c r="Y32" s="223" t="s">
        <v>327</v>
      </c>
      <c r="Z32" s="224"/>
      <c r="AA32" s="242"/>
    </row>
    <row r="33" spans="2:27" ht="14.25" x14ac:dyDescent="0.2">
      <c r="B33" s="3"/>
      <c r="C33" s="223"/>
      <c r="D33" s="224"/>
      <c r="E33" s="225"/>
      <c r="M33" s="3"/>
      <c r="N33" s="223"/>
      <c r="O33" s="224"/>
      <c r="P33" s="225"/>
      <c r="X33" s="3"/>
      <c r="Y33" s="223" t="s">
        <v>328</v>
      </c>
      <c r="Z33" s="224"/>
      <c r="AA33" s="242"/>
    </row>
    <row r="34" spans="2:27" ht="14.25" x14ac:dyDescent="0.2">
      <c r="B34" s="3"/>
      <c r="C34" s="223"/>
      <c r="D34" s="224"/>
      <c r="E34" s="225"/>
      <c r="M34" s="3"/>
      <c r="N34" s="223"/>
      <c r="O34" s="224"/>
      <c r="P34" s="225"/>
      <c r="X34" s="3"/>
      <c r="Y34" s="223" t="s">
        <v>329</v>
      </c>
      <c r="Z34" s="224"/>
      <c r="AA34" s="242"/>
    </row>
    <row r="35" spans="2:27" ht="14.25" x14ac:dyDescent="0.2">
      <c r="B35" s="3"/>
      <c r="C35" s="223"/>
      <c r="D35" s="224"/>
      <c r="E35" s="225"/>
      <c r="M35" s="3"/>
      <c r="N35" s="223"/>
      <c r="O35" s="224"/>
      <c r="P35" s="225"/>
      <c r="X35" s="3"/>
      <c r="Y35" s="223" t="s">
        <v>330</v>
      </c>
      <c r="Z35" s="224"/>
      <c r="AA35" s="242"/>
    </row>
    <row r="36" spans="2:27" ht="14.25" x14ac:dyDescent="0.2">
      <c r="B36" s="3"/>
      <c r="C36" s="223"/>
      <c r="D36" s="224"/>
      <c r="E36" s="225"/>
      <c r="M36" s="3"/>
      <c r="N36" s="223"/>
      <c r="O36" s="224"/>
      <c r="P36" s="225"/>
      <c r="X36" s="3"/>
      <c r="Y36" s="223"/>
      <c r="Z36" s="224"/>
      <c r="AA36" s="225"/>
    </row>
  </sheetData>
  <mergeCells count="37">
    <mergeCell ref="C35:E35"/>
    <mergeCell ref="N35:P35"/>
    <mergeCell ref="Y35:AA35"/>
    <mergeCell ref="C36:E36"/>
    <mergeCell ref="N36:P36"/>
    <mergeCell ref="Y36:AA36"/>
    <mergeCell ref="C33:E33"/>
    <mergeCell ref="N33:P33"/>
    <mergeCell ref="Y33:AA33"/>
    <mergeCell ref="C34:E34"/>
    <mergeCell ref="N34:P34"/>
    <mergeCell ref="Y34:AA34"/>
    <mergeCell ref="D10:E10"/>
    <mergeCell ref="O10:P10"/>
    <mergeCell ref="Z10:AA10"/>
    <mergeCell ref="C32:E32"/>
    <mergeCell ref="N32:P32"/>
    <mergeCell ref="Y32:AA32"/>
    <mergeCell ref="C7:G7"/>
    <mergeCell ref="M7:Q7"/>
    <mergeCell ref="X7:AB7"/>
    <mergeCell ref="C8:G8"/>
    <mergeCell ref="M8:Q8"/>
    <mergeCell ref="X8:AB8"/>
    <mergeCell ref="C5:G5"/>
    <mergeCell ref="M5:Q5"/>
    <mergeCell ref="X5:AB5"/>
    <mergeCell ref="C6:G6"/>
    <mergeCell ref="M6:Q6"/>
    <mergeCell ref="X6:AB6"/>
    <mergeCell ref="B1:G1"/>
    <mergeCell ref="C3:G3"/>
    <mergeCell ref="M3:Q3"/>
    <mergeCell ref="X3:AB3"/>
    <mergeCell ref="C4:G4"/>
    <mergeCell ref="M4:Q4"/>
    <mergeCell ref="X4:AB4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507D1-B6DE-4558-9F5F-F194EAAE3BC3}">
  <dimension ref="A1:N30"/>
  <sheetViews>
    <sheetView workbookViewId="0">
      <selection activeCell="J35" sqref="J35"/>
    </sheetView>
  </sheetViews>
  <sheetFormatPr defaultRowHeight="12" x14ac:dyDescent="0.15"/>
  <cols>
    <col min="2" max="2" width="58.75" customWidth="1"/>
    <col min="3" max="3" width="12.375" customWidth="1"/>
    <col min="4" max="4" width="11.375" customWidth="1"/>
    <col min="7" max="7" width="40.75" bestFit="1" customWidth="1"/>
    <col min="12" max="12" width="40.75" bestFit="1" customWidth="1"/>
    <col min="14" max="14" width="11.75" customWidth="1"/>
    <col min="258" max="258" width="58.75" customWidth="1"/>
    <col min="259" max="259" width="12.375" customWidth="1"/>
    <col min="260" max="260" width="11.375" customWidth="1"/>
    <col min="263" max="263" width="40.75" bestFit="1" customWidth="1"/>
    <col min="268" max="268" width="40.75" bestFit="1" customWidth="1"/>
    <col min="270" max="270" width="11.75" customWidth="1"/>
    <col min="514" max="514" width="58.75" customWidth="1"/>
    <col min="515" max="515" width="12.375" customWidth="1"/>
    <col min="516" max="516" width="11.375" customWidth="1"/>
    <col min="519" max="519" width="40.75" bestFit="1" customWidth="1"/>
    <col min="524" max="524" width="40.75" bestFit="1" customWidth="1"/>
    <col min="526" max="526" width="11.75" customWidth="1"/>
    <col min="770" max="770" width="58.75" customWidth="1"/>
    <col min="771" max="771" width="12.375" customWidth="1"/>
    <col min="772" max="772" width="11.375" customWidth="1"/>
    <col min="775" max="775" width="40.75" bestFit="1" customWidth="1"/>
    <col min="780" max="780" width="40.75" bestFit="1" customWidth="1"/>
    <col min="782" max="782" width="11.75" customWidth="1"/>
    <col min="1026" max="1026" width="58.75" customWidth="1"/>
    <col min="1027" max="1027" width="12.375" customWidth="1"/>
    <col min="1028" max="1028" width="11.375" customWidth="1"/>
    <col min="1031" max="1031" width="40.75" bestFit="1" customWidth="1"/>
    <col min="1036" max="1036" width="40.75" bestFit="1" customWidth="1"/>
    <col min="1038" max="1038" width="11.75" customWidth="1"/>
    <col min="1282" max="1282" width="58.75" customWidth="1"/>
    <col min="1283" max="1283" width="12.375" customWidth="1"/>
    <col min="1284" max="1284" width="11.375" customWidth="1"/>
    <col min="1287" max="1287" width="40.75" bestFit="1" customWidth="1"/>
    <col min="1292" max="1292" width="40.75" bestFit="1" customWidth="1"/>
    <col min="1294" max="1294" width="11.75" customWidth="1"/>
    <col min="1538" max="1538" width="58.75" customWidth="1"/>
    <col min="1539" max="1539" width="12.375" customWidth="1"/>
    <col min="1540" max="1540" width="11.375" customWidth="1"/>
    <col min="1543" max="1543" width="40.75" bestFit="1" customWidth="1"/>
    <col min="1548" max="1548" width="40.75" bestFit="1" customWidth="1"/>
    <col min="1550" max="1550" width="11.75" customWidth="1"/>
    <col min="1794" max="1794" width="58.75" customWidth="1"/>
    <col min="1795" max="1795" width="12.375" customWidth="1"/>
    <col min="1796" max="1796" width="11.375" customWidth="1"/>
    <col min="1799" max="1799" width="40.75" bestFit="1" customWidth="1"/>
    <col min="1804" max="1804" width="40.75" bestFit="1" customWidth="1"/>
    <col min="1806" max="1806" width="11.75" customWidth="1"/>
    <col min="2050" max="2050" width="58.75" customWidth="1"/>
    <col min="2051" max="2051" width="12.375" customWidth="1"/>
    <col min="2052" max="2052" width="11.375" customWidth="1"/>
    <col min="2055" max="2055" width="40.75" bestFit="1" customWidth="1"/>
    <col min="2060" max="2060" width="40.75" bestFit="1" customWidth="1"/>
    <col min="2062" max="2062" width="11.75" customWidth="1"/>
    <col min="2306" max="2306" width="58.75" customWidth="1"/>
    <col min="2307" max="2307" width="12.375" customWidth="1"/>
    <col min="2308" max="2308" width="11.375" customWidth="1"/>
    <col min="2311" max="2311" width="40.75" bestFit="1" customWidth="1"/>
    <col min="2316" max="2316" width="40.75" bestFit="1" customWidth="1"/>
    <col min="2318" max="2318" width="11.75" customWidth="1"/>
    <col min="2562" max="2562" width="58.75" customWidth="1"/>
    <col min="2563" max="2563" width="12.375" customWidth="1"/>
    <col min="2564" max="2564" width="11.375" customWidth="1"/>
    <col min="2567" max="2567" width="40.75" bestFit="1" customWidth="1"/>
    <col min="2572" max="2572" width="40.75" bestFit="1" customWidth="1"/>
    <col min="2574" max="2574" width="11.75" customWidth="1"/>
    <col min="2818" max="2818" width="58.75" customWidth="1"/>
    <col min="2819" max="2819" width="12.375" customWidth="1"/>
    <col min="2820" max="2820" width="11.375" customWidth="1"/>
    <col min="2823" max="2823" width="40.75" bestFit="1" customWidth="1"/>
    <col min="2828" max="2828" width="40.75" bestFit="1" customWidth="1"/>
    <col min="2830" max="2830" width="11.75" customWidth="1"/>
    <col min="3074" max="3074" width="58.75" customWidth="1"/>
    <col min="3075" max="3075" width="12.375" customWidth="1"/>
    <col min="3076" max="3076" width="11.375" customWidth="1"/>
    <col min="3079" max="3079" width="40.75" bestFit="1" customWidth="1"/>
    <col min="3084" max="3084" width="40.75" bestFit="1" customWidth="1"/>
    <col min="3086" max="3086" width="11.75" customWidth="1"/>
    <col min="3330" max="3330" width="58.75" customWidth="1"/>
    <col min="3331" max="3331" width="12.375" customWidth="1"/>
    <col min="3332" max="3332" width="11.375" customWidth="1"/>
    <col min="3335" max="3335" width="40.75" bestFit="1" customWidth="1"/>
    <col min="3340" max="3340" width="40.75" bestFit="1" customWidth="1"/>
    <col min="3342" max="3342" width="11.75" customWidth="1"/>
    <col min="3586" max="3586" width="58.75" customWidth="1"/>
    <col min="3587" max="3587" width="12.375" customWidth="1"/>
    <col min="3588" max="3588" width="11.375" customWidth="1"/>
    <col min="3591" max="3591" width="40.75" bestFit="1" customWidth="1"/>
    <col min="3596" max="3596" width="40.75" bestFit="1" customWidth="1"/>
    <col min="3598" max="3598" width="11.75" customWidth="1"/>
    <col min="3842" max="3842" width="58.75" customWidth="1"/>
    <col min="3843" max="3843" width="12.375" customWidth="1"/>
    <col min="3844" max="3844" width="11.375" customWidth="1"/>
    <col min="3847" max="3847" width="40.75" bestFit="1" customWidth="1"/>
    <col min="3852" max="3852" width="40.75" bestFit="1" customWidth="1"/>
    <col min="3854" max="3854" width="11.75" customWidth="1"/>
    <col min="4098" max="4098" width="58.75" customWidth="1"/>
    <col min="4099" max="4099" width="12.375" customWidth="1"/>
    <col min="4100" max="4100" width="11.375" customWidth="1"/>
    <col min="4103" max="4103" width="40.75" bestFit="1" customWidth="1"/>
    <col min="4108" max="4108" width="40.75" bestFit="1" customWidth="1"/>
    <col min="4110" max="4110" width="11.75" customWidth="1"/>
    <col min="4354" max="4354" width="58.75" customWidth="1"/>
    <col min="4355" max="4355" width="12.375" customWidth="1"/>
    <col min="4356" max="4356" width="11.375" customWidth="1"/>
    <col min="4359" max="4359" width="40.75" bestFit="1" customWidth="1"/>
    <col min="4364" max="4364" width="40.75" bestFit="1" customWidth="1"/>
    <col min="4366" max="4366" width="11.75" customWidth="1"/>
    <col min="4610" max="4610" width="58.75" customWidth="1"/>
    <col min="4611" max="4611" width="12.375" customWidth="1"/>
    <col min="4612" max="4612" width="11.375" customWidth="1"/>
    <col min="4615" max="4615" width="40.75" bestFit="1" customWidth="1"/>
    <col min="4620" max="4620" width="40.75" bestFit="1" customWidth="1"/>
    <col min="4622" max="4622" width="11.75" customWidth="1"/>
    <col min="4866" max="4866" width="58.75" customWidth="1"/>
    <col min="4867" max="4867" width="12.375" customWidth="1"/>
    <col min="4868" max="4868" width="11.375" customWidth="1"/>
    <col min="4871" max="4871" width="40.75" bestFit="1" customWidth="1"/>
    <col min="4876" max="4876" width="40.75" bestFit="1" customWidth="1"/>
    <col min="4878" max="4878" width="11.75" customWidth="1"/>
    <col min="5122" max="5122" width="58.75" customWidth="1"/>
    <col min="5123" max="5123" width="12.375" customWidth="1"/>
    <col min="5124" max="5124" width="11.375" customWidth="1"/>
    <col min="5127" max="5127" width="40.75" bestFit="1" customWidth="1"/>
    <col min="5132" max="5132" width="40.75" bestFit="1" customWidth="1"/>
    <col min="5134" max="5134" width="11.75" customWidth="1"/>
    <col min="5378" max="5378" width="58.75" customWidth="1"/>
    <col min="5379" max="5379" width="12.375" customWidth="1"/>
    <col min="5380" max="5380" width="11.375" customWidth="1"/>
    <col min="5383" max="5383" width="40.75" bestFit="1" customWidth="1"/>
    <col min="5388" max="5388" width="40.75" bestFit="1" customWidth="1"/>
    <col min="5390" max="5390" width="11.75" customWidth="1"/>
    <col min="5634" max="5634" width="58.75" customWidth="1"/>
    <col min="5635" max="5635" width="12.375" customWidth="1"/>
    <col min="5636" max="5636" width="11.375" customWidth="1"/>
    <col min="5639" max="5639" width="40.75" bestFit="1" customWidth="1"/>
    <col min="5644" max="5644" width="40.75" bestFit="1" customWidth="1"/>
    <col min="5646" max="5646" width="11.75" customWidth="1"/>
    <col min="5890" max="5890" width="58.75" customWidth="1"/>
    <col min="5891" max="5891" width="12.375" customWidth="1"/>
    <col min="5892" max="5892" width="11.375" customWidth="1"/>
    <col min="5895" max="5895" width="40.75" bestFit="1" customWidth="1"/>
    <col min="5900" max="5900" width="40.75" bestFit="1" customWidth="1"/>
    <col min="5902" max="5902" width="11.75" customWidth="1"/>
    <col min="6146" max="6146" width="58.75" customWidth="1"/>
    <col min="6147" max="6147" width="12.375" customWidth="1"/>
    <col min="6148" max="6148" width="11.375" customWidth="1"/>
    <col min="6151" max="6151" width="40.75" bestFit="1" customWidth="1"/>
    <col min="6156" max="6156" width="40.75" bestFit="1" customWidth="1"/>
    <col min="6158" max="6158" width="11.75" customWidth="1"/>
    <col min="6402" max="6402" width="58.75" customWidth="1"/>
    <col min="6403" max="6403" width="12.375" customWidth="1"/>
    <col min="6404" max="6404" width="11.375" customWidth="1"/>
    <col min="6407" max="6407" width="40.75" bestFit="1" customWidth="1"/>
    <col min="6412" max="6412" width="40.75" bestFit="1" customWidth="1"/>
    <col min="6414" max="6414" width="11.75" customWidth="1"/>
    <col min="6658" max="6658" width="58.75" customWidth="1"/>
    <col min="6659" max="6659" width="12.375" customWidth="1"/>
    <col min="6660" max="6660" width="11.375" customWidth="1"/>
    <col min="6663" max="6663" width="40.75" bestFit="1" customWidth="1"/>
    <col min="6668" max="6668" width="40.75" bestFit="1" customWidth="1"/>
    <col min="6670" max="6670" width="11.75" customWidth="1"/>
    <col min="6914" max="6914" width="58.75" customWidth="1"/>
    <col min="6915" max="6915" width="12.375" customWidth="1"/>
    <col min="6916" max="6916" width="11.375" customWidth="1"/>
    <col min="6919" max="6919" width="40.75" bestFit="1" customWidth="1"/>
    <col min="6924" max="6924" width="40.75" bestFit="1" customWidth="1"/>
    <col min="6926" max="6926" width="11.75" customWidth="1"/>
    <col min="7170" max="7170" width="58.75" customWidth="1"/>
    <col min="7171" max="7171" width="12.375" customWidth="1"/>
    <col min="7172" max="7172" width="11.375" customWidth="1"/>
    <col min="7175" max="7175" width="40.75" bestFit="1" customWidth="1"/>
    <col min="7180" max="7180" width="40.75" bestFit="1" customWidth="1"/>
    <col min="7182" max="7182" width="11.75" customWidth="1"/>
    <col min="7426" max="7426" width="58.75" customWidth="1"/>
    <col min="7427" max="7427" width="12.375" customWidth="1"/>
    <col min="7428" max="7428" width="11.375" customWidth="1"/>
    <col min="7431" max="7431" width="40.75" bestFit="1" customWidth="1"/>
    <col min="7436" max="7436" width="40.75" bestFit="1" customWidth="1"/>
    <col min="7438" max="7438" width="11.75" customWidth="1"/>
    <col min="7682" max="7682" width="58.75" customWidth="1"/>
    <col min="7683" max="7683" width="12.375" customWidth="1"/>
    <col min="7684" max="7684" width="11.375" customWidth="1"/>
    <col min="7687" max="7687" width="40.75" bestFit="1" customWidth="1"/>
    <col min="7692" max="7692" width="40.75" bestFit="1" customWidth="1"/>
    <col min="7694" max="7694" width="11.75" customWidth="1"/>
    <col min="7938" max="7938" width="58.75" customWidth="1"/>
    <col min="7939" max="7939" width="12.375" customWidth="1"/>
    <col min="7940" max="7940" width="11.375" customWidth="1"/>
    <col min="7943" max="7943" width="40.75" bestFit="1" customWidth="1"/>
    <col min="7948" max="7948" width="40.75" bestFit="1" customWidth="1"/>
    <col min="7950" max="7950" width="11.75" customWidth="1"/>
    <col min="8194" max="8194" width="58.75" customWidth="1"/>
    <col min="8195" max="8195" width="12.375" customWidth="1"/>
    <col min="8196" max="8196" width="11.375" customWidth="1"/>
    <col min="8199" max="8199" width="40.75" bestFit="1" customWidth="1"/>
    <col min="8204" max="8204" width="40.75" bestFit="1" customWidth="1"/>
    <col min="8206" max="8206" width="11.75" customWidth="1"/>
    <col min="8450" max="8450" width="58.75" customWidth="1"/>
    <col min="8451" max="8451" width="12.375" customWidth="1"/>
    <col min="8452" max="8452" width="11.375" customWidth="1"/>
    <col min="8455" max="8455" width="40.75" bestFit="1" customWidth="1"/>
    <col min="8460" max="8460" width="40.75" bestFit="1" customWidth="1"/>
    <col min="8462" max="8462" width="11.75" customWidth="1"/>
    <col min="8706" max="8706" width="58.75" customWidth="1"/>
    <col min="8707" max="8707" width="12.375" customWidth="1"/>
    <col min="8708" max="8708" width="11.375" customWidth="1"/>
    <col min="8711" max="8711" width="40.75" bestFit="1" customWidth="1"/>
    <col min="8716" max="8716" width="40.75" bestFit="1" customWidth="1"/>
    <col min="8718" max="8718" width="11.75" customWidth="1"/>
    <col min="8962" max="8962" width="58.75" customWidth="1"/>
    <col min="8963" max="8963" width="12.375" customWidth="1"/>
    <col min="8964" max="8964" width="11.375" customWidth="1"/>
    <col min="8967" max="8967" width="40.75" bestFit="1" customWidth="1"/>
    <col min="8972" max="8972" width="40.75" bestFit="1" customWidth="1"/>
    <col min="8974" max="8974" width="11.75" customWidth="1"/>
    <col min="9218" max="9218" width="58.75" customWidth="1"/>
    <col min="9219" max="9219" width="12.375" customWidth="1"/>
    <col min="9220" max="9220" width="11.375" customWidth="1"/>
    <col min="9223" max="9223" width="40.75" bestFit="1" customWidth="1"/>
    <col min="9228" max="9228" width="40.75" bestFit="1" customWidth="1"/>
    <col min="9230" max="9230" width="11.75" customWidth="1"/>
    <col min="9474" max="9474" width="58.75" customWidth="1"/>
    <col min="9475" max="9475" width="12.375" customWidth="1"/>
    <col min="9476" max="9476" width="11.375" customWidth="1"/>
    <col min="9479" max="9479" width="40.75" bestFit="1" customWidth="1"/>
    <col min="9484" max="9484" width="40.75" bestFit="1" customWidth="1"/>
    <col min="9486" max="9486" width="11.75" customWidth="1"/>
    <col min="9730" max="9730" width="58.75" customWidth="1"/>
    <col min="9731" max="9731" width="12.375" customWidth="1"/>
    <col min="9732" max="9732" width="11.375" customWidth="1"/>
    <col min="9735" max="9735" width="40.75" bestFit="1" customWidth="1"/>
    <col min="9740" max="9740" width="40.75" bestFit="1" customWidth="1"/>
    <col min="9742" max="9742" width="11.75" customWidth="1"/>
    <col min="9986" max="9986" width="58.75" customWidth="1"/>
    <col min="9987" max="9987" width="12.375" customWidth="1"/>
    <col min="9988" max="9988" width="11.375" customWidth="1"/>
    <col min="9991" max="9991" width="40.75" bestFit="1" customWidth="1"/>
    <col min="9996" max="9996" width="40.75" bestFit="1" customWidth="1"/>
    <col min="9998" max="9998" width="11.75" customWidth="1"/>
    <col min="10242" max="10242" width="58.75" customWidth="1"/>
    <col min="10243" max="10243" width="12.375" customWidth="1"/>
    <col min="10244" max="10244" width="11.375" customWidth="1"/>
    <col min="10247" max="10247" width="40.75" bestFit="1" customWidth="1"/>
    <col min="10252" max="10252" width="40.75" bestFit="1" customWidth="1"/>
    <col min="10254" max="10254" width="11.75" customWidth="1"/>
    <col min="10498" max="10498" width="58.75" customWidth="1"/>
    <col min="10499" max="10499" width="12.375" customWidth="1"/>
    <col min="10500" max="10500" width="11.375" customWidth="1"/>
    <col min="10503" max="10503" width="40.75" bestFit="1" customWidth="1"/>
    <col min="10508" max="10508" width="40.75" bestFit="1" customWidth="1"/>
    <col min="10510" max="10510" width="11.75" customWidth="1"/>
    <col min="10754" max="10754" width="58.75" customWidth="1"/>
    <col min="10755" max="10755" width="12.375" customWidth="1"/>
    <col min="10756" max="10756" width="11.375" customWidth="1"/>
    <col min="10759" max="10759" width="40.75" bestFit="1" customWidth="1"/>
    <col min="10764" max="10764" width="40.75" bestFit="1" customWidth="1"/>
    <col min="10766" max="10766" width="11.75" customWidth="1"/>
    <col min="11010" max="11010" width="58.75" customWidth="1"/>
    <col min="11011" max="11011" width="12.375" customWidth="1"/>
    <col min="11012" max="11012" width="11.375" customWidth="1"/>
    <col min="11015" max="11015" width="40.75" bestFit="1" customWidth="1"/>
    <col min="11020" max="11020" width="40.75" bestFit="1" customWidth="1"/>
    <col min="11022" max="11022" width="11.75" customWidth="1"/>
    <col min="11266" max="11266" width="58.75" customWidth="1"/>
    <col min="11267" max="11267" width="12.375" customWidth="1"/>
    <col min="11268" max="11268" width="11.375" customWidth="1"/>
    <col min="11271" max="11271" width="40.75" bestFit="1" customWidth="1"/>
    <col min="11276" max="11276" width="40.75" bestFit="1" customWidth="1"/>
    <col min="11278" max="11278" width="11.75" customWidth="1"/>
    <col min="11522" max="11522" width="58.75" customWidth="1"/>
    <col min="11523" max="11523" width="12.375" customWidth="1"/>
    <col min="11524" max="11524" width="11.375" customWidth="1"/>
    <col min="11527" max="11527" width="40.75" bestFit="1" customWidth="1"/>
    <col min="11532" max="11532" width="40.75" bestFit="1" customWidth="1"/>
    <col min="11534" max="11534" width="11.75" customWidth="1"/>
    <col min="11778" max="11778" width="58.75" customWidth="1"/>
    <col min="11779" max="11779" width="12.375" customWidth="1"/>
    <col min="11780" max="11780" width="11.375" customWidth="1"/>
    <col min="11783" max="11783" width="40.75" bestFit="1" customWidth="1"/>
    <col min="11788" max="11788" width="40.75" bestFit="1" customWidth="1"/>
    <col min="11790" max="11790" width="11.75" customWidth="1"/>
    <col min="12034" max="12034" width="58.75" customWidth="1"/>
    <col min="12035" max="12035" width="12.375" customWidth="1"/>
    <col min="12036" max="12036" width="11.375" customWidth="1"/>
    <col min="12039" max="12039" width="40.75" bestFit="1" customWidth="1"/>
    <col min="12044" max="12044" width="40.75" bestFit="1" customWidth="1"/>
    <col min="12046" max="12046" width="11.75" customWidth="1"/>
    <col min="12290" max="12290" width="58.75" customWidth="1"/>
    <col min="12291" max="12291" width="12.375" customWidth="1"/>
    <col min="12292" max="12292" width="11.375" customWidth="1"/>
    <col min="12295" max="12295" width="40.75" bestFit="1" customWidth="1"/>
    <col min="12300" max="12300" width="40.75" bestFit="1" customWidth="1"/>
    <col min="12302" max="12302" width="11.75" customWidth="1"/>
    <col min="12546" max="12546" width="58.75" customWidth="1"/>
    <col min="12547" max="12547" width="12.375" customWidth="1"/>
    <col min="12548" max="12548" width="11.375" customWidth="1"/>
    <col min="12551" max="12551" width="40.75" bestFit="1" customWidth="1"/>
    <col min="12556" max="12556" width="40.75" bestFit="1" customWidth="1"/>
    <col min="12558" max="12558" width="11.75" customWidth="1"/>
    <col min="12802" max="12802" width="58.75" customWidth="1"/>
    <col min="12803" max="12803" width="12.375" customWidth="1"/>
    <col min="12804" max="12804" width="11.375" customWidth="1"/>
    <col min="12807" max="12807" width="40.75" bestFit="1" customWidth="1"/>
    <col min="12812" max="12812" width="40.75" bestFit="1" customWidth="1"/>
    <col min="12814" max="12814" width="11.75" customWidth="1"/>
    <col min="13058" max="13058" width="58.75" customWidth="1"/>
    <col min="13059" max="13059" width="12.375" customWidth="1"/>
    <col min="13060" max="13060" width="11.375" customWidth="1"/>
    <col min="13063" max="13063" width="40.75" bestFit="1" customWidth="1"/>
    <col min="13068" max="13068" width="40.75" bestFit="1" customWidth="1"/>
    <col min="13070" max="13070" width="11.75" customWidth="1"/>
    <col min="13314" max="13314" width="58.75" customWidth="1"/>
    <col min="13315" max="13315" width="12.375" customWidth="1"/>
    <col min="13316" max="13316" width="11.375" customWidth="1"/>
    <col min="13319" max="13319" width="40.75" bestFit="1" customWidth="1"/>
    <col min="13324" max="13324" width="40.75" bestFit="1" customWidth="1"/>
    <col min="13326" max="13326" width="11.75" customWidth="1"/>
    <col min="13570" max="13570" width="58.75" customWidth="1"/>
    <col min="13571" max="13571" width="12.375" customWidth="1"/>
    <col min="13572" max="13572" width="11.375" customWidth="1"/>
    <col min="13575" max="13575" width="40.75" bestFit="1" customWidth="1"/>
    <col min="13580" max="13580" width="40.75" bestFit="1" customWidth="1"/>
    <col min="13582" max="13582" width="11.75" customWidth="1"/>
    <col min="13826" max="13826" width="58.75" customWidth="1"/>
    <col min="13827" max="13827" width="12.375" customWidth="1"/>
    <col min="13828" max="13828" width="11.375" customWidth="1"/>
    <col min="13831" max="13831" width="40.75" bestFit="1" customWidth="1"/>
    <col min="13836" max="13836" width="40.75" bestFit="1" customWidth="1"/>
    <col min="13838" max="13838" width="11.75" customWidth="1"/>
    <col min="14082" max="14082" width="58.75" customWidth="1"/>
    <col min="14083" max="14083" width="12.375" customWidth="1"/>
    <col min="14084" max="14084" width="11.375" customWidth="1"/>
    <col min="14087" max="14087" width="40.75" bestFit="1" customWidth="1"/>
    <col min="14092" max="14092" width="40.75" bestFit="1" customWidth="1"/>
    <col min="14094" max="14094" width="11.75" customWidth="1"/>
    <col min="14338" max="14338" width="58.75" customWidth="1"/>
    <col min="14339" max="14339" width="12.375" customWidth="1"/>
    <col min="14340" max="14340" width="11.375" customWidth="1"/>
    <col min="14343" max="14343" width="40.75" bestFit="1" customWidth="1"/>
    <col min="14348" max="14348" width="40.75" bestFit="1" customWidth="1"/>
    <col min="14350" max="14350" width="11.75" customWidth="1"/>
    <col min="14594" max="14594" width="58.75" customWidth="1"/>
    <col min="14595" max="14595" width="12.375" customWidth="1"/>
    <col min="14596" max="14596" width="11.375" customWidth="1"/>
    <col min="14599" max="14599" width="40.75" bestFit="1" customWidth="1"/>
    <col min="14604" max="14604" width="40.75" bestFit="1" customWidth="1"/>
    <col min="14606" max="14606" width="11.75" customWidth="1"/>
    <col min="14850" max="14850" width="58.75" customWidth="1"/>
    <col min="14851" max="14851" width="12.375" customWidth="1"/>
    <col min="14852" max="14852" width="11.375" customWidth="1"/>
    <col min="14855" max="14855" width="40.75" bestFit="1" customWidth="1"/>
    <col min="14860" max="14860" width="40.75" bestFit="1" customWidth="1"/>
    <col min="14862" max="14862" width="11.75" customWidth="1"/>
    <col min="15106" max="15106" width="58.75" customWidth="1"/>
    <col min="15107" max="15107" width="12.375" customWidth="1"/>
    <col min="15108" max="15108" width="11.375" customWidth="1"/>
    <col min="15111" max="15111" width="40.75" bestFit="1" customWidth="1"/>
    <col min="15116" max="15116" width="40.75" bestFit="1" customWidth="1"/>
    <col min="15118" max="15118" width="11.75" customWidth="1"/>
    <col min="15362" max="15362" width="58.75" customWidth="1"/>
    <col min="15363" max="15363" width="12.375" customWidth="1"/>
    <col min="15364" max="15364" width="11.375" customWidth="1"/>
    <col min="15367" max="15367" width="40.75" bestFit="1" customWidth="1"/>
    <col min="15372" max="15372" width="40.75" bestFit="1" customWidth="1"/>
    <col min="15374" max="15374" width="11.75" customWidth="1"/>
    <col min="15618" max="15618" width="58.75" customWidth="1"/>
    <col min="15619" max="15619" width="12.375" customWidth="1"/>
    <col min="15620" max="15620" width="11.375" customWidth="1"/>
    <col min="15623" max="15623" width="40.75" bestFit="1" customWidth="1"/>
    <col min="15628" max="15628" width="40.75" bestFit="1" customWidth="1"/>
    <col min="15630" max="15630" width="11.75" customWidth="1"/>
    <col min="15874" max="15874" width="58.75" customWidth="1"/>
    <col min="15875" max="15875" width="12.375" customWidth="1"/>
    <col min="15876" max="15876" width="11.375" customWidth="1"/>
    <col min="15879" max="15879" width="40.75" bestFit="1" customWidth="1"/>
    <col min="15884" max="15884" width="40.75" bestFit="1" customWidth="1"/>
    <col min="15886" max="15886" width="11.75" customWidth="1"/>
    <col min="16130" max="16130" width="58.75" customWidth="1"/>
    <col min="16131" max="16131" width="12.375" customWidth="1"/>
    <col min="16132" max="16132" width="11.375" customWidth="1"/>
    <col min="16135" max="16135" width="40.75" bestFit="1" customWidth="1"/>
    <col min="16140" max="16140" width="40.75" bestFit="1" customWidth="1"/>
    <col min="16142" max="16142" width="11.75" customWidth="1"/>
  </cols>
  <sheetData>
    <row r="1" spans="1:14" s="51" customFormat="1" ht="15" x14ac:dyDescent="0.25">
      <c r="B1" s="52"/>
    </row>
    <row r="2" spans="1:14" s="51" customFormat="1" ht="15" x14ac:dyDescent="0.25">
      <c r="B2" s="53" t="s">
        <v>209</v>
      </c>
    </row>
    <row r="3" spans="1:14" s="51" customFormat="1" ht="15" x14ac:dyDescent="0.25">
      <c r="B3" s="172" t="s">
        <v>264</v>
      </c>
    </row>
    <row r="4" spans="1:14" s="51" customFormat="1" ht="15" x14ac:dyDescent="0.25">
      <c r="B4" s="173"/>
    </row>
    <row r="5" spans="1:14" s="51" customFormat="1" ht="15" x14ac:dyDescent="0.25">
      <c r="B5" s="243" t="s">
        <v>434</v>
      </c>
      <c r="C5" s="243"/>
      <c r="D5" s="244"/>
      <c r="G5" s="243" t="s">
        <v>425</v>
      </c>
      <c r="H5" s="243"/>
      <c r="I5" s="244"/>
      <c r="L5" s="243" t="s">
        <v>435</v>
      </c>
      <c r="M5" s="243"/>
      <c r="N5" s="244"/>
    </row>
    <row r="6" spans="1:14" s="51" customFormat="1" ht="15" x14ac:dyDescent="0.25">
      <c r="B6" s="243" t="s">
        <v>436</v>
      </c>
      <c r="C6" s="243"/>
      <c r="D6" s="244"/>
      <c r="G6" s="243" t="s">
        <v>416</v>
      </c>
      <c r="H6" s="243"/>
      <c r="I6" s="244"/>
      <c r="L6" s="243" t="s">
        <v>427</v>
      </c>
      <c r="M6" s="243"/>
      <c r="N6" s="244"/>
    </row>
    <row r="7" spans="1:14" s="51" customFormat="1" ht="15" x14ac:dyDescent="0.25">
      <c r="B7" s="243" t="s">
        <v>437</v>
      </c>
      <c r="C7" s="243"/>
      <c r="D7" s="244"/>
      <c r="G7" s="243" t="s">
        <v>438</v>
      </c>
      <c r="H7" s="243"/>
      <c r="I7" s="244"/>
      <c r="L7" s="243" t="s">
        <v>439</v>
      </c>
      <c r="M7" s="243"/>
      <c r="N7" s="244"/>
    </row>
    <row r="8" spans="1:14" s="51" customFormat="1" ht="15" x14ac:dyDescent="0.25">
      <c r="B8" s="243" t="s">
        <v>440</v>
      </c>
      <c r="C8" s="243"/>
      <c r="D8" s="244"/>
      <c r="G8" s="243" t="s">
        <v>423</v>
      </c>
      <c r="H8" s="243"/>
      <c r="I8" s="244"/>
      <c r="L8" s="243" t="s">
        <v>429</v>
      </c>
      <c r="M8" s="243"/>
      <c r="N8" s="244"/>
    </row>
    <row r="9" spans="1:14" s="51" customFormat="1" ht="15" x14ac:dyDescent="0.25">
      <c r="B9" s="243" t="s">
        <v>441</v>
      </c>
      <c r="C9" s="243"/>
      <c r="D9" s="244"/>
      <c r="G9" s="243" t="s">
        <v>419</v>
      </c>
      <c r="H9" s="243"/>
      <c r="I9" s="244"/>
      <c r="L9" s="243" t="s">
        <v>442</v>
      </c>
      <c r="M9" s="243"/>
      <c r="N9" s="244"/>
    </row>
    <row r="10" spans="1:14" s="51" customFormat="1" ht="15" x14ac:dyDescent="0.25">
      <c r="B10" s="243" t="s">
        <v>414</v>
      </c>
      <c r="C10" s="243"/>
      <c r="D10" s="244"/>
      <c r="G10" s="243" t="s">
        <v>420</v>
      </c>
      <c r="H10" s="243"/>
      <c r="I10" s="244"/>
      <c r="L10" s="243" t="s">
        <v>431</v>
      </c>
      <c r="M10" s="243"/>
      <c r="N10" s="244"/>
    </row>
    <row r="11" spans="1:14" s="51" customFormat="1" ht="15" x14ac:dyDescent="0.25"/>
    <row r="12" spans="1:14" s="51" customFormat="1" ht="30" x14ac:dyDescent="0.25">
      <c r="A12" s="174" t="s">
        <v>443</v>
      </c>
      <c r="B12" s="55" t="s">
        <v>210</v>
      </c>
      <c r="G12" s="55" t="s">
        <v>210</v>
      </c>
      <c r="L12" s="55" t="s">
        <v>210</v>
      </c>
    </row>
    <row r="13" spans="1:14" s="51" customFormat="1" ht="15" x14ac:dyDescent="0.25">
      <c r="B13" s="56" t="s">
        <v>444</v>
      </c>
      <c r="C13" s="57" t="s">
        <v>1</v>
      </c>
      <c r="D13" s="57" t="s">
        <v>211</v>
      </c>
      <c r="G13" s="56" t="s">
        <v>444</v>
      </c>
      <c r="H13" s="57" t="s">
        <v>1</v>
      </c>
      <c r="I13" s="57" t="s">
        <v>211</v>
      </c>
      <c r="L13" s="56" t="s">
        <v>444</v>
      </c>
      <c r="M13" s="57" t="s">
        <v>1</v>
      </c>
      <c r="N13" s="57" t="s">
        <v>211</v>
      </c>
    </row>
    <row r="14" spans="1:14" s="51" customFormat="1" ht="15" x14ac:dyDescent="0.25">
      <c r="A14" s="51">
        <v>1</v>
      </c>
      <c r="B14" s="52" t="s">
        <v>212</v>
      </c>
      <c r="C14" s="175">
        <v>100</v>
      </c>
      <c r="D14" s="175">
        <v>100</v>
      </c>
      <c r="G14" s="52" t="s">
        <v>212</v>
      </c>
      <c r="H14" s="253">
        <v>120</v>
      </c>
      <c r="I14" s="251">
        <v>120</v>
      </c>
      <c r="L14" s="52" t="s">
        <v>212</v>
      </c>
      <c r="M14" s="175">
        <v>120</v>
      </c>
      <c r="N14" s="175">
        <v>120</v>
      </c>
    </row>
    <row r="15" spans="1:14" s="51" customFormat="1" ht="15" x14ac:dyDescent="0.25">
      <c r="A15" s="51">
        <v>2</v>
      </c>
      <c r="B15" s="52" t="s">
        <v>213</v>
      </c>
      <c r="C15" s="176">
        <v>150</v>
      </c>
      <c r="D15" s="176">
        <v>150</v>
      </c>
      <c r="G15" s="52" t="s">
        <v>213</v>
      </c>
      <c r="H15" s="251">
        <v>180</v>
      </c>
      <c r="I15" s="251">
        <v>180</v>
      </c>
      <c r="L15" s="52" t="s">
        <v>213</v>
      </c>
      <c r="M15" s="176">
        <v>180</v>
      </c>
      <c r="N15" s="176">
        <v>180</v>
      </c>
    </row>
    <row r="16" spans="1:14" s="51" customFormat="1" ht="15" x14ac:dyDescent="0.25">
      <c r="A16" s="51">
        <v>3</v>
      </c>
      <c r="B16" s="52" t="s">
        <v>214</v>
      </c>
      <c r="C16" s="176">
        <v>185</v>
      </c>
      <c r="D16" s="176">
        <v>185</v>
      </c>
      <c r="G16" s="52" t="s">
        <v>214</v>
      </c>
      <c r="H16" s="251">
        <v>240</v>
      </c>
      <c r="I16" s="251">
        <v>240</v>
      </c>
      <c r="L16" s="52" t="s">
        <v>214</v>
      </c>
      <c r="M16" s="176">
        <v>240</v>
      </c>
      <c r="N16" s="176">
        <v>240</v>
      </c>
    </row>
    <row r="17" spans="1:14" s="51" customFormat="1" ht="15" x14ac:dyDescent="0.25">
      <c r="A17" s="51">
        <v>4</v>
      </c>
      <c r="B17" s="53" t="s">
        <v>215</v>
      </c>
      <c r="C17" s="176">
        <v>150</v>
      </c>
      <c r="D17" s="176">
        <v>150</v>
      </c>
      <c r="G17" s="53" t="s">
        <v>215</v>
      </c>
      <c r="H17" s="251">
        <v>180</v>
      </c>
      <c r="I17" s="251">
        <v>180</v>
      </c>
      <c r="L17" s="53" t="s">
        <v>215</v>
      </c>
      <c r="M17" s="176">
        <v>180</v>
      </c>
      <c r="N17" s="176">
        <v>180</v>
      </c>
    </row>
    <row r="18" spans="1:14" s="51" customFormat="1" ht="15" x14ac:dyDescent="0.25">
      <c r="A18" s="51">
        <v>5</v>
      </c>
      <c r="B18" s="52" t="s">
        <v>216</v>
      </c>
      <c r="C18" s="203">
        <v>20</v>
      </c>
      <c r="D18" s="203">
        <v>20</v>
      </c>
      <c r="G18" s="52" t="s">
        <v>216</v>
      </c>
      <c r="H18" s="265">
        <v>10</v>
      </c>
      <c r="I18" s="265">
        <v>10</v>
      </c>
      <c r="L18" s="52" t="s">
        <v>216</v>
      </c>
      <c r="M18" s="204">
        <v>10</v>
      </c>
      <c r="N18" s="204">
        <v>10</v>
      </c>
    </row>
    <row r="19" spans="1:14" s="51" customFormat="1" ht="15" x14ac:dyDescent="0.25">
      <c r="B19" s="58" t="s">
        <v>92</v>
      </c>
      <c r="C19" s="176"/>
      <c r="D19" s="176"/>
      <c r="G19" s="58" t="s">
        <v>92</v>
      </c>
      <c r="H19" s="251"/>
      <c r="I19" s="251"/>
      <c r="L19" s="58" t="s">
        <v>92</v>
      </c>
      <c r="M19" s="176"/>
      <c r="N19" s="176"/>
    </row>
    <row r="20" spans="1:14" s="51" customFormat="1" ht="15" x14ac:dyDescent="0.25">
      <c r="A20" s="51">
        <v>6</v>
      </c>
      <c r="B20" s="52" t="s">
        <v>212</v>
      </c>
      <c r="C20" s="176">
        <v>100</v>
      </c>
      <c r="D20" s="176">
        <v>100</v>
      </c>
      <c r="G20" s="52" t="s">
        <v>212</v>
      </c>
      <c r="H20" s="251">
        <v>120</v>
      </c>
      <c r="I20" s="251">
        <v>120</v>
      </c>
      <c r="L20" s="52" t="s">
        <v>212</v>
      </c>
      <c r="M20" s="175">
        <v>120</v>
      </c>
      <c r="N20" s="175">
        <v>120</v>
      </c>
    </row>
    <row r="21" spans="1:14" s="51" customFormat="1" ht="15" x14ac:dyDescent="0.25">
      <c r="A21" s="51">
        <v>7</v>
      </c>
      <c r="B21" s="52" t="s">
        <v>213</v>
      </c>
      <c r="C21" s="176">
        <v>150</v>
      </c>
      <c r="D21" s="176">
        <v>150</v>
      </c>
      <c r="G21" s="52" t="s">
        <v>213</v>
      </c>
      <c r="H21" s="251">
        <v>180</v>
      </c>
      <c r="I21" s="251">
        <v>180</v>
      </c>
      <c r="L21" s="52" t="s">
        <v>213</v>
      </c>
      <c r="M21" s="176">
        <v>180</v>
      </c>
      <c r="N21" s="176">
        <v>180</v>
      </c>
    </row>
    <row r="22" spans="1:14" s="51" customFormat="1" ht="15" x14ac:dyDescent="0.25">
      <c r="A22" s="51">
        <v>8</v>
      </c>
      <c r="B22" s="52" t="s">
        <v>214</v>
      </c>
      <c r="C22" s="176">
        <v>185</v>
      </c>
      <c r="D22" s="176">
        <v>185</v>
      </c>
      <c r="G22" s="52" t="s">
        <v>214</v>
      </c>
      <c r="H22" s="251">
        <v>240</v>
      </c>
      <c r="I22" s="251">
        <v>240</v>
      </c>
      <c r="L22" s="52" t="s">
        <v>214</v>
      </c>
      <c r="M22" s="176">
        <v>240</v>
      </c>
      <c r="N22" s="176">
        <v>240</v>
      </c>
    </row>
    <row r="23" spans="1:14" s="51" customFormat="1" ht="15" x14ac:dyDescent="0.25">
      <c r="A23" s="51">
        <v>9</v>
      </c>
      <c r="B23" s="53" t="s">
        <v>215</v>
      </c>
      <c r="C23" s="176">
        <v>150</v>
      </c>
      <c r="D23" s="176">
        <v>150</v>
      </c>
      <c r="G23" s="53" t="s">
        <v>215</v>
      </c>
      <c r="H23" s="251">
        <v>180</v>
      </c>
      <c r="I23" s="251">
        <v>180</v>
      </c>
      <c r="L23" s="53" t="s">
        <v>215</v>
      </c>
      <c r="M23" s="176">
        <v>180</v>
      </c>
      <c r="N23" s="176">
        <v>180</v>
      </c>
    </row>
    <row r="24" spans="1:14" s="51" customFormat="1" ht="15" x14ac:dyDescent="0.25">
      <c r="A24" s="51">
        <v>10</v>
      </c>
      <c r="B24" s="52" t="s">
        <v>216</v>
      </c>
      <c r="C24" s="204">
        <v>20</v>
      </c>
      <c r="D24" s="204">
        <v>20</v>
      </c>
      <c r="G24" s="52" t="s">
        <v>216</v>
      </c>
      <c r="H24" s="266">
        <v>10</v>
      </c>
      <c r="I24" s="266">
        <v>10</v>
      </c>
      <c r="L24" s="52" t="s">
        <v>216</v>
      </c>
      <c r="M24" s="204">
        <v>10</v>
      </c>
      <c r="N24" s="204">
        <v>10</v>
      </c>
    </row>
    <row r="25" spans="1:14" s="51" customFormat="1" ht="15" x14ac:dyDescent="0.25">
      <c r="B25" s="58" t="s">
        <v>208</v>
      </c>
      <c r="C25" s="176"/>
      <c r="D25" s="176"/>
      <c r="G25" s="58" t="s">
        <v>208</v>
      </c>
      <c r="H25" s="251"/>
      <c r="I25" s="251"/>
      <c r="L25" s="58" t="s">
        <v>208</v>
      </c>
      <c r="M25" s="130"/>
      <c r="N25" s="130"/>
    </row>
    <row r="26" spans="1:14" s="51" customFormat="1" ht="15" x14ac:dyDescent="0.25">
      <c r="A26" s="51">
        <v>11</v>
      </c>
      <c r="B26" s="52" t="s">
        <v>212</v>
      </c>
      <c r="C26" s="176">
        <v>100</v>
      </c>
      <c r="D26" s="176">
        <v>100</v>
      </c>
      <c r="G26" s="52" t="s">
        <v>212</v>
      </c>
      <c r="H26" s="251">
        <v>120</v>
      </c>
      <c r="I26" s="251">
        <v>120</v>
      </c>
      <c r="L26" s="52" t="s">
        <v>212</v>
      </c>
      <c r="M26" s="175">
        <v>120</v>
      </c>
      <c r="N26" s="175">
        <v>120</v>
      </c>
    </row>
    <row r="27" spans="1:14" s="51" customFormat="1" ht="15" x14ac:dyDescent="0.25">
      <c r="A27" s="51">
        <v>12</v>
      </c>
      <c r="B27" s="52" t="s">
        <v>213</v>
      </c>
      <c r="C27" s="176">
        <v>150</v>
      </c>
      <c r="D27" s="176">
        <v>150</v>
      </c>
      <c r="G27" s="52" t="s">
        <v>213</v>
      </c>
      <c r="H27" s="251">
        <v>180</v>
      </c>
      <c r="I27" s="251">
        <v>180</v>
      </c>
      <c r="L27" s="52" t="s">
        <v>213</v>
      </c>
      <c r="M27" s="176">
        <v>180</v>
      </c>
      <c r="N27" s="176">
        <v>180</v>
      </c>
    </row>
    <row r="28" spans="1:14" s="51" customFormat="1" ht="15" x14ac:dyDescent="0.25">
      <c r="A28" s="51">
        <v>13</v>
      </c>
      <c r="B28" s="52" t="s">
        <v>214</v>
      </c>
      <c r="C28" s="176">
        <v>185</v>
      </c>
      <c r="D28" s="176">
        <v>185</v>
      </c>
      <c r="G28" s="52" t="s">
        <v>214</v>
      </c>
      <c r="H28" s="251">
        <v>240</v>
      </c>
      <c r="I28" s="251">
        <v>240</v>
      </c>
      <c r="L28" s="52" t="s">
        <v>214</v>
      </c>
      <c r="M28" s="176">
        <v>240</v>
      </c>
      <c r="N28" s="176">
        <v>240</v>
      </c>
    </row>
    <row r="29" spans="1:14" s="51" customFormat="1" ht="15" x14ac:dyDescent="0.25">
      <c r="A29" s="51">
        <v>14</v>
      </c>
      <c r="B29" s="53" t="s">
        <v>215</v>
      </c>
      <c r="C29" s="176">
        <v>150</v>
      </c>
      <c r="D29" s="176">
        <v>150</v>
      </c>
      <c r="G29" s="53" t="s">
        <v>215</v>
      </c>
      <c r="H29" s="251">
        <v>180</v>
      </c>
      <c r="I29" s="251">
        <v>180</v>
      </c>
      <c r="L29" s="53" t="s">
        <v>215</v>
      </c>
      <c r="M29" s="176">
        <v>180</v>
      </c>
      <c r="N29" s="176">
        <v>180</v>
      </c>
    </row>
    <row r="30" spans="1:14" s="51" customFormat="1" ht="15" x14ac:dyDescent="0.25">
      <c r="A30" s="51">
        <v>15</v>
      </c>
      <c r="B30" s="52" t="s">
        <v>216</v>
      </c>
      <c r="C30" s="203">
        <v>20</v>
      </c>
      <c r="D30" s="203">
        <v>20</v>
      </c>
      <c r="G30" s="52" t="s">
        <v>216</v>
      </c>
      <c r="H30" s="254">
        <v>10</v>
      </c>
      <c r="I30" s="254">
        <v>10</v>
      </c>
      <c r="L30" s="52" t="s">
        <v>216</v>
      </c>
      <c r="M30" s="202">
        <v>10</v>
      </c>
      <c r="N30" s="202">
        <v>10</v>
      </c>
    </row>
  </sheetData>
  <mergeCells count="18">
    <mergeCell ref="B9:D9"/>
    <mergeCell ref="G9:I9"/>
    <mergeCell ref="L9:N9"/>
    <mergeCell ref="B10:D10"/>
    <mergeCell ref="G10:I10"/>
    <mergeCell ref="L10:N10"/>
    <mergeCell ref="B7:D7"/>
    <mergeCell ref="G7:I7"/>
    <mergeCell ref="L7:N7"/>
    <mergeCell ref="B8:D8"/>
    <mergeCell ref="G8:I8"/>
    <mergeCell ref="L8:N8"/>
    <mergeCell ref="B5:D5"/>
    <mergeCell ref="G5:I5"/>
    <mergeCell ref="L5:N5"/>
    <mergeCell ref="B6:D6"/>
    <mergeCell ref="G6:I6"/>
    <mergeCell ref="L6:N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E117"/>
  <sheetViews>
    <sheetView tabSelected="1" zoomScaleNormal="100" workbookViewId="0">
      <pane ySplit="1" topLeftCell="A2" activePane="bottomLeft" state="frozen"/>
      <selection activeCell="C1" sqref="C1"/>
      <selection pane="bottomLeft" activeCell="A96" sqref="A96"/>
    </sheetView>
  </sheetViews>
  <sheetFormatPr defaultRowHeight="12" x14ac:dyDescent="0.15"/>
  <cols>
    <col min="1" max="1" width="5.375" style="22" customWidth="1"/>
    <col min="2" max="2" width="44.25" style="16" customWidth="1"/>
    <col min="3" max="3" width="13.125" customWidth="1"/>
    <col min="4" max="4" width="13" customWidth="1"/>
    <col min="5" max="5" width="9.625" customWidth="1"/>
    <col min="6" max="6" width="13.125" customWidth="1"/>
    <col min="7" max="7" width="8.625" customWidth="1"/>
    <col min="9" max="9" width="13.625" customWidth="1"/>
    <col min="10" max="10" width="10.625" customWidth="1"/>
    <col min="13" max="13" width="9.375" customWidth="1"/>
    <col min="15" max="15" width="12.75" customWidth="1"/>
    <col min="19" max="19" width="13.625" bestFit="1" customWidth="1"/>
    <col min="23" max="23" width="10.125" customWidth="1"/>
    <col min="24" max="24" width="9.75" bestFit="1" customWidth="1"/>
    <col min="25" max="25" width="12" customWidth="1"/>
    <col min="28" max="28" width="11.375" customWidth="1"/>
    <col min="29" max="29" width="13.625" bestFit="1" customWidth="1"/>
  </cols>
  <sheetData>
    <row r="1" spans="1:31" ht="25.35" customHeight="1" x14ac:dyDescent="0.25">
      <c r="B1" s="214"/>
      <c r="C1" s="215"/>
      <c r="D1" s="215"/>
      <c r="E1" s="215"/>
      <c r="F1" s="215"/>
      <c r="G1" s="215"/>
    </row>
    <row r="2" spans="1:31" ht="12" customHeight="1" x14ac:dyDescent="0.25">
      <c r="B2" s="19"/>
    </row>
    <row r="3" spans="1:31" ht="18" customHeight="1" x14ac:dyDescent="0.25">
      <c r="B3" s="23"/>
      <c r="C3" s="212" t="s">
        <v>305</v>
      </c>
      <c r="D3" s="213"/>
      <c r="E3" s="213"/>
      <c r="F3" s="213"/>
      <c r="G3" s="213"/>
      <c r="M3" s="212" t="s">
        <v>425</v>
      </c>
      <c r="N3" s="213"/>
      <c r="O3" s="213"/>
      <c r="P3" s="213"/>
      <c r="Q3" s="213"/>
      <c r="W3" s="212" t="s">
        <v>426</v>
      </c>
      <c r="X3" s="213"/>
      <c r="Y3" s="213"/>
      <c r="Z3" s="213"/>
      <c r="AA3" s="213"/>
    </row>
    <row r="4" spans="1:31" ht="18" customHeight="1" x14ac:dyDescent="0.25">
      <c r="B4" s="23"/>
      <c r="C4" s="212" t="s">
        <v>408</v>
      </c>
      <c r="D4" s="213"/>
      <c r="E4" s="213"/>
      <c r="F4" s="213"/>
      <c r="G4" s="213"/>
      <c r="M4" s="212" t="s">
        <v>416</v>
      </c>
      <c r="N4" s="213"/>
      <c r="O4" s="213"/>
      <c r="P4" s="213"/>
      <c r="Q4" s="213"/>
      <c r="W4" s="212" t="s">
        <v>427</v>
      </c>
      <c r="X4" s="213"/>
      <c r="Y4" s="213"/>
      <c r="Z4" s="213"/>
      <c r="AA4" s="213"/>
    </row>
    <row r="5" spans="1:31" ht="17.45" customHeight="1" x14ac:dyDescent="0.25">
      <c r="B5" s="21" t="s">
        <v>91</v>
      </c>
      <c r="C5" s="212" t="s">
        <v>409</v>
      </c>
      <c r="D5" s="213"/>
      <c r="E5" s="213"/>
      <c r="F5" s="213"/>
      <c r="G5" s="213"/>
      <c r="M5" s="212" t="s">
        <v>417</v>
      </c>
      <c r="N5" s="213"/>
      <c r="O5" s="213"/>
      <c r="P5" s="213"/>
      <c r="Q5" s="213"/>
      <c r="W5" s="212" t="s">
        <v>428</v>
      </c>
      <c r="X5" s="213"/>
      <c r="Y5" s="213"/>
      <c r="Z5" s="213"/>
      <c r="AA5" s="213"/>
    </row>
    <row r="6" spans="1:31" ht="17.45" customHeight="1" x14ac:dyDescent="0.25">
      <c r="B6" s="21"/>
      <c r="C6" s="212" t="s">
        <v>410</v>
      </c>
      <c r="D6" s="213"/>
      <c r="E6" s="213"/>
      <c r="F6" s="213"/>
      <c r="G6" s="213"/>
      <c r="M6" s="212" t="s">
        <v>418</v>
      </c>
      <c r="N6" s="213"/>
      <c r="O6" s="213"/>
      <c r="P6" s="213"/>
      <c r="Q6" s="213"/>
      <c r="W6" s="212" t="s">
        <v>429</v>
      </c>
      <c r="X6" s="213"/>
      <c r="Y6" s="213"/>
      <c r="Z6" s="213"/>
      <c r="AA6" s="213"/>
    </row>
    <row r="7" spans="1:31" ht="17.45" customHeight="1" x14ac:dyDescent="0.25">
      <c r="B7" s="21"/>
      <c r="C7" s="219" t="s">
        <v>411</v>
      </c>
      <c r="D7" s="220"/>
      <c r="E7" s="220"/>
      <c r="F7" s="220"/>
      <c r="G7" s="221"/>
      <c r="M7" s="219" t="s">
        <v>419</v>
      </c>
      <c r="N7" s="220"/>
      <c r="O7" s="220"/>
      <c r="P7" s="220"/>
      <c r="Q7" s="221"/>
      <c r="W7" s="219" t="s">
        <v>430</v>
      </c>
      <c r="X7" s="220"/>
      <c r="Y7" s="220"/>
      <c r="Z7" s="220"/>
      <c r="AA7" s="221"/>
    </row>
    <row r="8" spans="1:31" ht="17.45" customHeight="1" x14ac:dyDescent="0.25">
      <c r="B8" s="23"/>
      <c r="C8" s="212" t="s">
        <v>412</v>
      </c>
      <c r="D8" s="213"/>
      <c r="E8" s="213"/>
      <c r="F8" s="213"/>
      <c r="G8" s="213"/>
      <c r="M8" s="212" t="s">
        <v>420</v>
      </c>
      <c r="N8" s="213"/>
      <c r="O8" s="213"/>
      <c r="P8" s="213"/>
      <c r="Q8" s="213"/>
      <c r="W8" s="212" t="s">
        <v>431</v>
      </c>
      <c r="X8" s="213"/>
      <c r="Y8" s="213"/>
      <c r="Z8" s="213"/>
      <c r="AA8" s="213"/>
    </row>
    <row r="9" spans="1:31" ht="18.600000000000001" customHeight="1" x14ac:dyDescent="0.25">
      <c r="B9" s="20"/>
    </row>
    <row r="10" spans="1:31" s="72" customFormat="1" ht="18.600000000000001" customHeight="1" x14ac:dyDescent="0.25">
      <c r="A10" s="70"/>
      <c r="B10" s="71"/>
      <c r="C10" s="90"/>
      <c r="D10" s="222" t="s">
        <v>293</v>
      </c>
      <c r="E10" s="222"/>
      <c r="F10" s="80"/>
      <c r="G10" s="78" t="s">
        <v>299</v>
      </c>
      <c r="H10" s="81"/>
      <c r="I10" s="82" t="s">
        <v>300</v>
      </c>
      <c r="J10" s="79" t="s">
        <v>302</v>
      </c>
      <c r="K10" s="83" t="s">
        <v>292</v>
      </c>
      <c r="M10" s="90"/>
      <c r="N10" s="226" t="s">
        <v>293</v>
      </c>
      <c r="O10" s="226"/>
      <c r="P10" s="80"/>
      <c r="Q10" s="78" t="s">
        <v>299</v>
      </c>
      <c r="R10" s="81"/>
      <c r="S10" s="82" t="s">
        <v>300</v>
      </c>
      <c r="T10" s="79" t="s">
        <v>302</v>
      </c>
      <c r="U10" s="83" t="s">
        <v>292</v>
      </c>
      <c r="W10" s="90"/>
      <c r="X10" s="222" t="s">
        <v>293</v>
      </c>
      <c r="Y10" s="222"/>
      <c r="Z10" s="80"/>
      <c r="AA10" s="78" t="s">
        <v>299</v>
      </c>
      <c r="AB10" s="81"/>
      <c r="AC10" s="82" t="s">
        <v>300</v>
      </c>
      <c r="AD10" s="79" t="s">
        <v>302</v>
      </c>
      <c r="AE10" s="83" t="s">
        <v>292</v>
      </c>
    </row>
    <row r="11" spans="1:31" ht="64.5" customHeight="1" x14ac:dyDescent="0.25">
      <c r="A11" s="69"/>
      <c r="B11" s="47" t="s">
        <v>17</v>
      </c>
      <c r="C11" s="85" t="s">
        <v>294</v>
      </c>
      <c r="D11" s="86" t="s">
        <v>295</v>
      </c>
      <c r="E11" s="86" t="s">
        <v>296</v>
      </c>
      <c r="F11" s="75" t="s">
        <v>297</v>
      </c>
      <c r="G11" s="73" t="s">
        <v>298</v>
      </c>
      <c r="H11" s="73" t="s">
        <v>295</v>
      </c>
      <c r="I11" s="74" t="s">
        <v>301</v>
      </c>
      <c r="J11" s="76" t="s">
        <v>277</v>
      </c>
      <c r="K11" s="76" t="s">
        <v>276</v>
      </c>
      <c r="M11" s="75" t="s">
        <v>294</v>
      </c>
      <c r="N11" s="86" t="s">
        <v>295</v>
      </c>
      <c r="O11" s="86" t="s">
        <v>296</v>
      </c>
      <c r="P11" s="75" t="s">
        <v>297</v>
      </c>
      <c r="Q11" s="73" t="s">
        <v>298</v>
      </c>
      <c r="R11" s="73" t="s">
        <v>295</v>
      </c>
      <c r="S11" s="74" t="s">
        <v>301</v>
      </c>
      <c r="T11" s="76" t="s">
        <v>277</v>
      </c>
      <c r="U11" s="76" t="s">
        <v>276</v>
      </c>
      <c r="W11" s="75" t="s">
        <v>294</v>
      </c>
      <c r="X11" s="86" t="s">
        <v>295</v>
      </c>
      <c r="Y11" s="86" t="s">
        <v>296</v>
      </c>
      <c r="Z11" s="75" t="s">
        <v>297</v>
      </c>
      <c r="AA11" s="73" t="s">
        <v>298</v>
      </c>
      <c r="AB11" s="73" t="s">
        <v>295</v>
      </c>
      <c r="AC11" s="74" t="s">
        <v>301</v>
      </c>
      <c r="AD11" s="76" t="s">
        <v>277</v>
      </c>
      <c r="AE11" s="76" t="s">
        <v>276</v>
      </c>
    </row>
    <row r="12" spans="1:31" ht="29.25" thickBot="1" x14ac:dyDescent="0.2">
      <c r="A12" s="22">
        <v>1</v>
      </c>
      <c r="B12" s="24" t="s">
        <v>18</v>
      </c>
      <c r="C12" s="126">
        <f>(50*0.96)</f>
        <v>48</v>
      </c>
      <c r="D12" s="126">
        <f>(150*0.96)</f>
        <v>144</v>
      </c>
      <c r="E12" s="126">
        <v>0</v>
      </c>
      <c r="F12" s="126">
        <f>+(300*0.96)</f>
        <v>288</v>
      </c>
      <c r="G12" s="126">
        <f>(161*0.96)</f>
        <v>154.56</v>
      </c>
      <c r="H12" s="126">
        <f>(1447*0.96)</f>
        <v>1389.12</v>
      </c>
      <c r="I12" s="126" t="s">
        <v>319</v>
      </c>
      <c r="J12" s="134"/>
      <c r="K12" s="134"/>
      <c r="M12" s="126">
        <v>100</v>
      </c>
      <c r="N12" s="126">
        <v>125</v>
      </c>
      <c r="O12" s="126" t="s">
        <v>319</v>
      </c>
      <c r="P12" s="126">
        <v>325</v>
      </c>
      <c r="Q12" s="126">
        <v>75</v>
      </c>
      <c r="R12" s="126">
        <v>930</v>
      </c>
      <c r="S12" s="126" t="s">
        <v>319</v>
      </c>
      <c r="T12" s="134"/>
      <c r="U12" s="134"/>
      <c r="W12" s="126">
        <v>360</v>
      </c>
      <c r="X12" s="126">
        <v>120</v>
      </c>
      <c r="Y12" s="126" t="s">
        <v>319</v>
      </c>
      <c r="Z12" s="126">
        <v>500</v>
      </c>
      <c r="AA12" s="126">
        <v>100</v>
      </c>
      <c r="AB12" s="126">
        <v>360</v>
      </c>
      <c r="AC12" s="126" t="s">
        <v>319</v>
      </c>
      <c r="AD12" s="134"/>
      <c r="AE12" s="134"/>
    </row>
    <row r="13" spans="1:31" ht="29.25" thickBot="1" x14ac:dyDescent="0.2">
      <c r="A13" s="22">
        <v>2</v>
      </c>
      <c r="B13" s="24" t="s">
        <v>19</v>
      </c>
      <c r="C13" s="126" t="s">
        <v>319</v>
      </c>
      <c r="D13" s="126" t="s">
        <v>319</v>
      </c>
      <c r="E13" s="126" t="s">
        <v>319</v>
      </c>
      <c r="F13" s="126" t="s">
        <v>319</v>
      </c>
      <c r="G13" s="126">
        <f>(42*0.96)</f>
        <v>40.32</v>
      </c>
      <c r="H13" s="126">
        <f>(376*0.96)</f>
        <v>360.96</v>
      </c>
      <c r="I13" s="126" t="s">
        <v>319</v>
      </c>
      <c r="J13" s="134"/>
      <c r="K13" s="134"/>
      <c r="M13" s="126">
        <v>100</v>
      </c>
      <c r="N13" s="126">
        <v>125</v>
      </c>
      <c r="O13" s="126" t="s">
        <v>319</v>
      </c>
      <c r="P13" s="126">
        <v>325</v>
      </c>
      <c r="Q13" s="126">
        <v>95</v>
      </c>
      <c r="R13" s="126">
        <v>210</v>
      </c>
      <c r="S13" s="126" t="s">
        <v>319</v>
      </c>
      <c r="T13" s="134"/>
      <c r="U13" s="134"/>
      <c r="W13" s="126">
        <v>360</v>
      </c>
      <c r="X13" s="126">
        <v>120</v>
      </c>
      <c r="Y13" s="126" t="s">
        <v>319</v>
      </c>
      <c r="Z13" s="126">
        <v>500</v>
      </c>
      <c r="AA13" s="126">
        <v>100</v>
      </c>
      <c r="AB13" s="126">
        <v>120</v>
      </c>
      <c r="AC13" s="126" t="s">
        <v>319</v>
      </c>
      <c r="AD13" s="134"/>
      <c r="AE13" s="134"/>
    </row>
    <row r="14" spans="1:31" ht="15" thickBot="1" x14ac:dyDescent="0.2">
      <c r="A14" s="22">
        <v>3</v>
      </c>
      <c r="B14" s="24" t="s">
        <v>20</v>
      </c>
      <c r="C14" s="126" t="s">
        <v>319</v>
      </c>
      <c r="D14" s="126" t="s">
        <v>319</v>
      </c>
      <c r="E14" s="126" t="s">
        <v>319</v>
      </c>
      <c r="F14" s="126" t="s">
        <v>319</v>
      </c>
      <c r="G14" s="126">
        <f>(42*0.96)</f>
        <v>40.32</v>
      </c>
      <c r="H14" s="126">
        <f>(376*0.96)</f>
        <v>360.96</v>
      </c>
      <c r="I14" s="126" t="s">
        <v>319</v>
      </c>
      <c r="J14" s="134"/>
      <c r="K14" s="134"/>
      <c r="M14" s="126" t="s">
        <v>319</v>
      </c>
      <c r="N14" s="126" t="s">
        <v>319</v>
      </c>
      <c r="O14" s="126" t="s">
        <v>319</v>
      </c>
      <c r="P14" s="126" t="s">
        <v>319</v>
      </c>
      <c r="Q14" s="126">
        <v>75</v>
      </c>
      <c r="R14" s="126">
        <v>340</v>
      </c>
      <c r="S14" s="126" t="s">
        <v>319</v>
      </c>
      <c r="T14" s="134"/>
      <c r="U14" s="134"/>
      <c r="W14" s="126" t="s">
        <v>319</v>
      </c>
      <c r="X14" s="126" t="s">
        <v>319</v>
      </c>
      <c r="Y14" s="126" t="s">
        <v>319</v>
      </c>
      <c r="Z14" s="126" t="s">
        <v>319</v>
      </c>
      <c r="AA14" s="126">
        <v>150</v>
      </c>
      <c r="AB14" s="126">
        <v>240</v>
      </c>
      <c r="AC14" s="126" t="s">
        <v>319</v>
      </c>
      <c r="AD14" s="134"/>
      <c r="AE14" s="134"/>
    </row>
    <row r="15" spans="1:31" ht="15" thickBot="1" x14ac:dyDescent="0.2">
      <c r="A15" s="22">
        <v>4</v>
      </c>
      <c r="B15" s="24" t="s">
        <v>21</v>
      </c>
      <c r="C15" s="126">
        <f>(150*0.96)</f>
        <v>144</v>
      </c>
      <c r="D15" s="126">
        <f>(450*0.96)</f>
        <v>432</v>
      </c>
      <c r="E15" s="126" t="s">
        <v>319</v>
      </c>
      <c r="F15" s="126">
        <f>+(300*0.96)</f>
        <v>288</v>
      </c>
      <c r="G15" s="126">
        <f>(45*0.96)</f>
        <v>43.199999999999996</v>
      </c>
      <c r="H15" s="126">
        <f>(405*0.96)</f>
        <v>388.8</v>
      </c>
      <c r="I15" s="126" t="s">
        <v>319</v>
      </c>
      <c r="J15" s="134"/>
      <c r="K15" s="134"/>
      <c r="M15" s="126">
        <v>150</v>
      </c>
      <c r="N15" s="126">
        <v>200</v>
      </c>
      <c r="O15" s="126">
        <v>100</v>
      </c>
      <c r="P15" s="126">
        <v>325</v>
      </c>
      <c r="Q15" s="126">
        <v>75</v>
      </c>
      <c r="R15" s="126">
        <v>600</v>
      </c>
      <c r="S15" s="126" t="s">
        <v>319</v>
      </c>
      <c r="T15" s="134"/>
      <c r="U15" s="134"/>
      <c r="W15" s="126">
        <v>360</v>
      </c>
      <c r="X15" s="126">
        <v>120</v>
      </c>
      <c r="Y15" s="126" t="s">
        <v>319</v>
      </c>
      <c r="Z15" s="126">
        <v>500</v>
      </c>
      <c r="AA15" s="126">
        <v>100</v>
      </c>
      <c r="AB15" s="126">
        <v>360</v>
      </c>
      <c r="AC15" s="126" t="s">
        <v>319</v>
      </c>
      <c r="AD15" s="134"/>
      <c r="AE15" s="134"/>
    </row>
    <row r="16" spans="1:31" ht="15" thickBot="1" x14ac:dyDescent="0.2">
      <c r="A16" s="22">
        <v>5</v>
      </c>
      <c r="B16" s="24" t="s">
        <v>22</v>
      </c>
      <c r="C16" s="126">
        <f>(112*0.96)</f>
        <v>107.52</v>
      </c>
      <c r="D16" s="126">
        <f>(338*0.96)</f>
        <v>324.47999999999996</v>
      </c>
      <c r="E16" s="126" t="s">
        <v>319</v>
      </c>
      <c r="F16" s="126">
        <f t="shared" ref="F16:F28" si="0">+(300*0.96)</f>
        <v>288</v>
      </c>
      <c r="G16" s="126">
        <f>(36*0.96)</f>
        <v>34.56</v>
      </c>
      <c r="H16" s="126">
        <f>(324*0.96)</f>
        <v>311.03999999999996</v>
      </c>
      <c r="I16" s="126" t="s">
        <v>319</v>
      </c>
      <c r="J16" s="134"/>
      <c r="K16" s="134"/>
      <c r="M16" s="126">
        <v>100</v>
      </c>
      <c r="N16" s="126">
        <v>200</v>
      </c>
      <c r="O16" s="126">
        <v>100</v>
      </c>
      <c r="P16" s="126">
        <v>325</v>
      </c>
      <c r="Q16" s="126">
        <v>100</v>
      </c>
      <c r="R16" s="126">
        <v>150</v>
      </c>
      <c r="S16" s="126" t="s">
        <v>319</v>
      </c>
      <c r="T16" s="134"/>
      <c r="U16" s="134"/>
      <c r="W16" s="126">
        <v>720</v>
      </c>
      <c r="X16" s="126">
        <v>240</v>
      </c>
      <c r="Y16" s="126">
        <v>120</v>
      </c>
      <c r="Z16" s="126" t="s">
        <v>319</v>
      </c>
      <c r="AA16" s="126">
        <v>100</v>
      </c>
      <c r="AB16" s="126">
        <v>360</v>
      </c>
      <c r="AC16" s="126" t="s">
        <v>319</v>
      </c>
      <c r="AD16" s="134"/>
      <c r="AE16" s="134"/>
    </row>
    <row r="17" spans="1:31" ht="14.25" x14ac:dyDescent="0.15">
      <c r="A17" s="22">
        <v>6</v>
      </c>
      <c r="B17" s="25" t="s">
        <v>23</v>
      </c>
      <c r="C17" s="126">
        <f t="shared" ref="C17:C18" si="1">(112*0.96)</f>
        <v>107.52</v>
      </c>
      <c r="D17" s="126">
        <f t="shared" ref="D17:D18" si="2">(338*0.96)</f>
        <v>324.47999999999996</v>
      </c>
      <c r="E17" s="126" t="s">
        <v>319</v>
      </c>
      <c r="F17" s="126">
        <f t="shared" si="0"/>
        <v>288</v>
      </c>
      <c r="G17" s="126">
        <f>(36*0.96)</f>
        <v>34.56</v>
      </c>
      <c r="H17" s="126">
        <f>(324*0.96)</f>
        <v>311.03999999999996</v>
      </c>
      <c r="I17" s="126" t="s">
        <v>319</v>
      </c>
      <c r="J17" s="134"/>
      <c r="K17" s="134"/>
      <c r="M17" s="126">
        <v>100</v>
      </c>
      <c r="N17" s="126">
        <v>200</v>
      </c>
      <c r="O17" s="126">
        <v>100</v>
      </c>
      <c r="P17" s="126">
        <v>325</v>
      </c>
      <c r="Q17" s="126">
        <v>100</v>
      </c>
      <c r="R17" s="126">
        <v>150</v>
      </c>
      <c r="S17" s="126" t="s">
        <v>319</v>
      </c>
      <c r="T17" s="134"/>
      <c r="U17" s="134"/>
      <c r="W17" s="126">
        <v>720</v>
      </c>
      <c r="X17" s="126">
        <v>240</v>
      </c>
      <c r="Y17" s="126">
        <v>120</v>
      </c>
      <c r="Z17" s="126" t="s">
        <v>319</v>
      </c>
      <c r="AA17" s="126">
        <v>100</v>
      </c>
      <c r="AB17" s="126">
        <v>360</v>
      </c>
      <c r="AC17" s="126" t="s">
        <v>319</v>
      </c>
      <c r="AD17" s="134"/>
      <c r="AE17" s="134"/>
    </row>
    <row r="18" spans="1:31" ht="14.25" x14ac:dyDescent="0.15">
      <c r="A18" s="22">
        <v>7</v>
      </c>
      <c r="B18" s="26" t="s">
        <v>24</v>
      </c>
      <c r="C18" s="126">
        <f t="shared" si="1"/>
        <v>107.52</v>
      </c>
      <c r="D18" s="126">
        <f t="shared" si="2"/>
        <v>324.47999999999996</v>
      </c>
      <c r="E18" s="126" t="s">
        <v>319</v>
      </c>
      <c r="F18" s="126">
        <f t="shared" si="0"/>
        <v>288</v>
      </c>
      <c r="G18" s="126">
        <f>(65*0.96)</f>
        <v>62.4</v>
      </c>
      <c r="H18" s="126">
        <f>(589*0.96)</f>
        <v>565.43999999999994</v>
      </c>
      <c r="I18" s="126" t="s">
        <v>319</v>
      </c>
      <c r="J18" s="134"/>
      <c r="K18" s="134"/>
      <c r="M18" s="126">
        <v>100</v>
      </c>
      <c r="N18" s="126">
        <v>200</v>
      </c>
      <c r="O18" s="126">
        <v>100</v>
      </c>
      <c r="P18" s="126">
        <v>325</v>
      </c>
      <c r="Q18" s="126">
        <v>140</v>
      </c>
      <c r="R18" s="126">
        <v>590</v>
      </c>
      <c r="S18" s="126" t="s">
        <v>319</v>
      </c>
      <c r="T18" s="134"/>
      <c r="U18" s="134"/>
      <c r="W18" s="126">
        <v>720</v>
      </c>
      <c r="X18" s="126">
        <v>240</v>
      </c>
      <c r="Y18" s="126">
        <v>120</v>
      </c>
      <c r="Z18" s="126">
        <v>500</v>
      </c>
      <c r="AA18" s="126">
        <v>100</v>
      </c>
      <c r="AB18" s="126">
        <v>360</v>
      </c>
      <c r="AC18" s="126" t="s">
        <v>319</v>
      </c>
      <c r="AD18" s="134"/>
      <c r="AE18" s="134"/>
    </row>
    <row r="19" spans="1:31" ht="15" thickBot="1" x14ac:dyDescent="0.2">
      <c r="A19" s="22">
        <v>8</v>
      </c>
      <c r="B19" s="24" t="s">
        <v>25</v>
      </c>
      <c r="C19" s="126">
        <f>(141*0.96)</f>
        <v>135.35999999999999</v>
      </c>
      <c r="D19" s="126">
        <f>(423*0.96)</f>
        <v>406.08</v>
      </c>
      <c r="E19" s="126" t="s">
        <v>319</v>
      </c>
      <c r="F19" s="126">
        <f t="shared" si="0"/>
        <v>288</v>
      </c>
      <c r="G19" s="126">
        <f>(54*0.96)</f>
        <v>51.839999999999996</v>
      </c>
      <c r="H19" s="126">
        <f>(481*0.96)</f>
        <v>461.76</v>
      </c>
      <c r="I19" s="126" t="s">
        <v>319</v>
      </c>
      <c r="J19" s="134"/>
      <c r="K19" s="134"/>
      <c r="M19" s="126">
        <v>100</v>
      </c>
      <c r="N19" s="126">
        <v>150</v>
      </c>
      <c r="O19" s="126" t="s">
        <v>319</v>
      </c>
      <c r="P19" s="126">
        <v>325</v>
      </c>
      <c r="Q19" s="126">
        <v>85</v>
      </c>
      <c r="R19" s="126">
        <v>430</v>
      </c>
      <c r="S19" s="126" t="s">
        <v>319</v>
      </c>
      <c r="T19" s="134"/>
      <c r="U19" s="134"/>
      <c r="W19" s="126">
        <v>720</v>
      </c>
      <c r="X19" s="126">
        <v>240</v>
      </c>
      <c r="Y19" s="126" t="s">
        <v>319</v>
      </c>
      <c r="Z19" s="126">
        <v>500</v>
      </c>
      <c r="AA19" s="126">
        <v>100</v>
      </c>
      <c r="AB19" s="126">
        <v>360</v>
      </c>
      <c r="AC19" s="126" t="s">
        <v>319</v>
      </c>
      <c r="AD19" s="134"/>
      <c r="AE19" s="134"/>
    </row>
    <row r="20" spans="1:31" ht="15" thickBot="1" x14ac:dyDescent="0.2">
      <c r="A20" s="22">
        <v>9</v>
      </c>
      <c r="B20" s="27" t="s">
        <v>26</v>
      </c>
      <c r="C20" s="126">
        <f>(73*0.96)</f>
        <v>70.08</v>
      </c>
      <c r="D20" s="126">
        <f>(220*0.96)</f>
        <v>211.2</v>
      </c>
      <c r="E20" s="126" t="s">
        <v>319</v>
      </c>
      <c r="F20" s="126">
        <f t="shared" si="0"/>
        <v>288</v>
      </c>
      <c r="G20" s="126">
        <f>(65*0.96)</f>
        <v>62.4</v>
      </c>
      <c r="H20" s="126">
        <f>(589*0.96)</f>
        <v>565.43999999999994</v>
      </c>
      <c r="I20" s="126" t="s">
        <v>319</v>
      </c>
      <c r="J20" s="134"/>
      <c r="K20" s="134"/>
      <c r="M20" s="126">
        <v>100</v>
      </c>
      <c r="N20" s="126">
        <v>200</v>
      </c>
      <c r="O20" s="126">
        <v>100</v>
      </c>
      <c r="P20" s="126">
        <v>325</v>
      </c>
      <c r="Q20" s="126">
        <v>120</v>
      </c>
      <c r="R20" s="126">
        <v>465</v>
      </c>
      <c r="S20" s="126" t="s">
        <v>319</v>
      </c>
      <c r="T20" s="134"/>
      <c r="U20" s="134"/>
      <c r="W20" s="126">
        <v>360</v>
      </c>
      <c r="X20" s="126">
        <v>120</v>
      </c>
      <c r="Y20" s="126" t="s">
        <v>319</v>
      </c>
      <c r="Z20" s="126">
        <v>500</v>
      </c>
      <c r="AA20" s="126">
        <v>100</v>
      </c>
      <c r="AB20" s="126">
        <v>360</v>
      </c>
      <c r="AC20" s="126" t="s">
        <v>319</v>
      </c>
      <c r="AD20" s="134"/>
      <c r="AE20" s="134"/>
    </row>
    <row r="21" spans="1:31" ht="15" thickBot="1" x14ac:dyDescent="0.2">
      <c r="A21" s="22">
        <v>10</v>
      </c>
      <c r="B21" s="27" t="s">
        <v>291</v>
      </c>
      <c r="C21" s="126">
        <f>(1415*0.96)</f>
        <v>1358.3999999999999</v>
      </c>
      <c r="D21" s="126">
        <f>(4245*0.96)</f>
        <v>4075.2</v>
      </c>
      <c r="E21" s="126" t="s">
        <v>319</v>
      </c>
      <c r="F21" s="126">
        <f t="shared" si="0"/>
        <v>288</v>
      </c>
      <c r="G21" s="126">
        <f>(981*0.96)</f>
        <v>941.76</v>
      </c>
      <c r="H21" s="126">
        <f>(8829*0.96)</f>
        <v>8475.84</v>
      </c>
      <c r="I21" s="126" t="s">
        <v>319</v>
      </c>
      <c r="J21" s="134"/>
      <c r="K21" s="134"/>
      <c r="M21" s="126">
        <v>1100</v>
      </c>
      <c r="N21" s="126">
        <v>2100</v>
      </c>
      <c r="O21" s="126" t="s">
        <v>319</v>
      </c>
      <c r="P21" s="126">
        <v>325</v>
      </c>
      <c r="Q21" s="126">
        <v>1130</v>
      </c>
      <c r="R21" s="126">
        <v>9525</v>
      </c>
      <c r="S21" s="126" t="s">
        <v>319</v>
      </c>
      <c r="T21" s="134"/>
      <c r="U21" s="134"/>
      <c r="W21" s="126">
        <v>2700</v>
      </c>
      <c r="X21" s="126">
        <v>900</v>
      </c>
      <c r="Y21" s="126" t="s">
        <v>319</v>
      </c>
      <c r="Z21" s="126">
        <v>750</v>
      </c>
      <c r="AA21" s="126">
        <v>150</v>
      </c>
      <c r="AB21" s="126">
        <v>14400</v>
      </c>
      <c r="AC21" s="126" t="s">
        <v>319</v>
      </c>
      <c r="AD21" s="134"/>
      <c r="AE21" s="134"/>
    </row>
    <row r="22" spans="1:31" ht="14.25" x14ac:dyDescent="0.15">
      <c r="A22" s="22">
        <v>11</v>
      </c>
      <c r="B22" s="28" t="s">
        <v>27</v>
      </c>
      <c r="C22" s="126" t="s">
        <v>319</v>
      </c>
      <c r="D22" s="126" t="s">
        <v>319</v>
      </c>
      <c r="E22" s="126" t="s">
        <v>319</v>
      </c>
      <c r="F22" s="126" t="s">
        <v>319</v>
      </c>
      <c r="G22" s="126">
        <f>(30*0.96)</f>
        <v>28.799999999999997</v>
      </c>
      <c r="H22" s="126">
        <f>(268*0.96)</f>
        <v>257.27999999999997</v>
      </c>
      <c r="I22" s="126" t="s">
        <v>319</v>
      </c>
      <c r="J22" s="134"/>
      <c r="K22" s="134"/>
      <c r="M22" s="126" t="s">
        <v>319</v>
      </c>
      <c r="N22" s="126" t="s">
        <v>319</v>
      </c>
      <c r="O22" s="126" t="s">
        <v>319</v>
      </c>
      <c r="P22" s="126" t="s">
        <v>319</v>
      </c>
      <c r="Q22" s="126">
        <v>75</v>
      </c>
      <c r="R22" s="126">
        <v>260</v>
      </c>
      <c r="S22" s="126" t="s">
        <v>319</v>
      </c>
      <c r="T22" s="134"/>
      <c r="U22" s="134"/>
      <c r="W22" s="126" t="s">
        <v>319</v>
      </c>
      <c r="X22" s="126" t="s">
        <v>319</v>
      </c>
      <c r="Y22" s="126" t="s">
        <v>319</v>
      </c>
      <c r="Z22" s="126" t="s">
        <v>319</v>
      </c>
      <c r="AA22" s="126">
        <v>30</v>
      </c>
      <c r="AB22" s="126">
        <v>60</v>
      </c>
      <c r="AC22" s="126" t="s">
        <v>319</v>
      </c>
      <c r="AD22" s="134"/>
      <c r="AE22" s="134"/>
    </row>
    <row r="23" spans="1:31" ht="14.25" x14ac:dyDescent="0.15">
      <c r="A23" s="22">
        <v>12</v>
      </c>
      <c r="B23" s="29" t="s">
        <v>28</v>
      </c>
      <c r="C23" s="126">
        <f>(120*0.96)</f>
        <v>115.19999999999999</v>
      </c>
      <c r="D23" s="126">
        <f>(120*0.96)</f>
        <v>115.19999999999999</v>
      </c>
      <c r="E23" s="126" t="s">
        <v>319</v>
      </c>
      <c r="F23" s="126">
        <f t="shared" si="0"/>
        <v>288</v>
      </c>
      <c r="G23" s="126">
        <f>(24*0.96)</f>
        <v>23.04</v>
      </c>
      <c r="H23" s="126">
        <f>(216*0.96)</f>
        <v>207.35999999999999</v>
      </c>
      <c r="I23" s="126" t="s">
        <v>319</v>
      </c>
      <c r="J23" s="134"/>
      <c r="K23" s="134"/>
      <c r="M23" s="126" t="s">
        <v>319</v>
      </c>
      <c r="N23" s="126" t="s">
        <v>319</v>
      </c>
      <c r="O23" s="126" t="s">
        <v>319</v>
      </c>
      <c r="P23" s="126" t="s">
        <v>319</v>
      </c>
      <c r="Q23" s="126">
        <v>75</v>
      </c>
      <c r="R23" s="126">
        <v>150</v>
      </c>
      <c r="S23" s="126" t="s">
        <v>319</v>
      </c>
      <c r="T23" s="134"/>
      <c r="U23" s="134"/>
      <c r="W23" s="126">
        <v>360</v>
      </c>
      <c r="X23" s="126">
        <v>120</v>
      </c>
      <c r="Y23" s="126" t="s">
        <v>319</v>
      </c>
      <c r="Z23" s="126">
        <v>500</v>
      </c>
      <c r="AA23" s="126">
        <v>30</v>
      </c>
      <c r="AB23" s="126">
        <v>30</v>
      </c>
      <c r="AC23" s="126" t="s">
        <v>319</v>
      </c>
      <c r="AD23" s="134"/>
      <c r="AE23" s="134"/>
    </row>
    <row r="24" spans="1:31" ht="14.25" x14ac:dyDescent="0.15">
      <c r="A24" s="22">
        <v>13</v>
      </c>
      <c r="B24" s="30" t="s">
        <v>29</v>
      </c>
      <c r="C24" s="126">
        <f>(67*0.96)</f>
        <v>64.319999999999993</v>
      </c>
      <c r="D24" s="126">
        <f>(203*0.96)</f>
        <v>194.88</v>
      </c>
      <c r="E24" s="126" t="s">
        <v>319</v>
      </c>
      <c r="F24" s="126">
        <f t="shared" si="0"/>
        <v>288</v>
      </c>
      <c r="G24" s="126">
        <f>(42*0.96)</f>
        <v>40.32</v>
      </c>
      <c r="H24" s="126">
        <f>(377*0.96)</f>
        <v>361.91999999999996</v>
      </c>
      <c r="I24" s="126" t="s">
        <v>319</v>
      </c>
      <c r="J24" s="134"/>
      <c r="K24" s="134"/>
      <c r="M24" s="126">
        <v>125</v>
      </c>
      <c r="N24" s="126">
        <v>250</v>
      </c>
      <c r="O24" s="126">
        <v>100</v>
      </c>
      <c r="P24" s="126">
        <v>325</v>
      </c>
      <c r="Q24" s="126">
        <v>80</v>
      </c>
      <c r="R24" s="126">
        <v>295</v>
      </c>
      <c r="S24" s="126" t="s">
        <v>319</v>
      </c>
      <c r="T24" s="134"/>
      <c r="U24" s="134"/>
      <c r="W24" s="126">
        <v>360</v>
      </c>
      <c r="X24" s="126">
        <v>120</v>
      </c>
      <c r="Y24" s="126" t="s">
        <v>319</v>
      </c>
      <c r="Z24" s="126">
        <v>500</v>
      </c>
      <c r="AA24" s="126">
        <v>30</v>
      </c>
      <c r="AB24" s="126">
        <v>60</v>
      </c>
      <c r="AC24" s="126" t="s">
        <v>319</v>
      </c>
      <c r="AD24" s="134"/>
      <c r="AE24" s="134"/>
    </row>
    <row r="25" spans="1:31" ht="14.25" x14ac:dyDescent="0.15">
      <c r="A25" s="22">
        <v>14</v>
      </c>
      <c r="B25" s="29" t="s">
        <v>267</v>
      </c>
      <c r="C25" s="126">
        <f>(58*0.96)</f>
        <v>55.68</v>
      </c>
      <c r="D25" s="126">
        <f>(174*0.96)</f>
        <v>167.04</v>
      </c>
      <c r="E25" s="126" t="s">
        <v>319</v>
      </c>
      <c r="F25" s="126">
        <f t="shared" si="0"/>
        <v>288</v>
      </c>
      <c r="G25" s="126">
        <f>(200*0.96)</f>
        <v>192</v>
      </c>
      <c r="H25" s="126">
        <f>(1796*0.96)</f>
        <v>1724.1599999999999</v>
      </c>
      <c r="I25" s="126" t="s">
        <v>319</v>
      </c>
      <c r="J25" s="134"/>
      <c r="K25" s="134"/>
      <c r="M25" s="126">
        <v>700</v>
      </c>
      <c r="N25" s="126">
        <v>850</v>
      </c>
      <c r="O25" s="126">
        <v>0</v>
      </c>
      <c r="P25" s="126">
        <v>325</v>
      </c>
      <c r="Q25" s="126">
        <v>115</v>
      </c>
      <c r="R25" s="126">
        <v>2395</v>
      </c>
      <c r="S25" s="126" t="s">
        <v>319</v>
      </c>
      <c r="T25" s="134"/>
      <c r="U25" s="134"/>
      <c r="W25" s="126">
        <v>540</v>
      </c>
      <c r="X25" s="126">
        <v>180</v>
      </c>
      <c r="Y25" s="126" t="s">
        <v>319</v>
      </c>
      <c r="Z25" s="126">
        <v>750</v>
      </c>
      <c r="AA25" s="126">
        <v>150</v>
      </c>
      <c r="AB25" s="126">
        <v>2880</v>
      </c>
      <c r="AC25" s="126" t="s">
        <v>319</v>
      </c>
      <c r="AD25" s="134"/>
      <c r="AE25" s="134"/>
    </row>
    <row r="26" spans="1:31" ht="14.25" x14ac:dyDescent="0.15">
      <c r="A26" s="22">
        <v>15</v>
      </c>
      <c r="B26" s="26" t="s">
        <v>268</v>
      </c>
      <c r="C26" s="126">
        <f>(179*0.96)</f>
        <v>171.84</v>
      </c>
      <c r="D26" s="126">
        <f>(537*0.96)</f>
        <v>515.52</v>
      </c>
      <c r="E26" s="126" t="s">
        <v>319</v>
      </c>
      <c r="F26" s="126">
        <f t="shared" si="0"/>
        <v>288</v>
      </c>
      <c r="G26" s="126">
        <f>(2351*0.96)</f>
        <v>2256.96</v>
      </c>
      <c r="H26" s="126">
        <f>(21159*0.96)</f>
        <v>20312.64</v>
      </c>
      <c r="I26" s="126" t="s">
        <v>319</v>
      </c>
      <c r="J26" s="134"/>
      <c r="K26" s="134"/>
      <c r="M26" s="126">
        <v>2200</v>
      </c>
      <c r="N26" s="126">
        <v>3600</v>
      </c>
      <c r="O26" s="126">
        <v>100</v>
      </c>
      <c r="P26" s="126">
        <v>325</v>
      </c>
      <c r="Q26" s="126">
        <v>1210</v>
      </c>
      <c r="R26" s="126">
        <v>10399</v>
      </c>
      <c r="S26" s="126" t="s">
        <v>319</v>
      </c>
      <c r="T26" s="134"/>
      <c r="U26" s="134"/>
      <c r="W26" s="126">
        <v>2700</v>
      </c>
      <c r="X26" s="126">
        <v>900</v>
      </c>
      <c r="Y26" s="126" t="s">
        <v>319</v>
      </c>
      <c r="Z26" s="126">
        <v>750</v>
      </c>
      <c r="AA26" s="126">
        <v>150</v>
      </c>
      <c r="AB26" s="126">
        <v>8640</v>
      </c>
      <c r="AC26" s="126" t="s">
        <v>319</v>
      </c>
      <c r="AD26" s="134"/>
      <c r="AE26" s="134"/>
    </row>
    <row r="27" spans="1:31" ht="14.25" x14ac:dyDescent="0.15">
      <c r="A27" s="22">
        <v>16</v>
      </c>
      <c r="B27" s="26" t="s">
        <v>30</v>
      </c>
      <c r="C27" s="126">
        <f>(117*0.96)</f>
        <v>112.32</v>
      </c>
      <c r="D27" s="126">
        <f>(349*0.96)</f>
        <v>335.03999999999996</v>
      </c>
      <c r="E27" s="126" t="s">
        <v>319</v>
      </c>
      <c r="F27" s="126">
        <f t="shared" si="0"/>
        <v>288</v>
      </c>
      <c r="G27" s="126">
        <f>(125*0.96)</f>
        <v>120</v>
      </c>
      <c r="H27" s="126">
        <f>(1125*0.96)</f>
        <v>1080</v>
      </c>
      <c r="I27" s="126" t="s">
        <v>319</v>
      </c>
      <c r="J27" s="134"/>
      <c r="K27" s="134"/>
      <c r="M27" s="126">
        <v>250</v>
      </c>
      <c r="N27" s="126">
        <v>300</v>
      </c>
      <c r="O27" s="126" t="s">
        <v>319</v>
      </c>
      <c r="P27" s="126">
        <v>325</v>
      </c>
      <c r="Q27" s="126">
        <v>235</v>
      </c>
      <c r="R27" s="126">
        <v>1355</v>
      </c>
      <c r="S27" s="126" t="s">
        <v>319</v>
      </c>
      <c r="T27" s="134"/>
      <c r="U27" s="134"/>
      <c r="W27" s="126">
        <v>720</v>
      </c>
      <c r="X27" s="126">
        <v>240</v>
      </c>
      <c r="Y27" s="126" t="s">
        <v>319</v>
      </c>
      <c r="Z27" s="126">
        <v>500</v>
      </c>
      <c r="AA27" s="126">
        <v>100</v>
      </c>
      <c r="AB27" s="126">
        <v>960</v>
      </c>
      <c r="AC27" s="126" t="s">
        <v>319</v>
      </c>
      <c r="AD27" s="134"/>
      <c r="AE27" s="134"/>
    </row>
    <row r="28" spans="1:31" ht="14.25" x14ac:dyDescent="0.2">
      <c r="A28" s="22">
        <v>17</v>
      </c>
      <c r="B28" s="31" t="s">
        <v>31</v>
      </c>
      <c r="C28" s="126">
        <f>(90*0.96)</f>
        <v>86.399999999999991</v>
      </c>
      <c r="D28" s="126">
        <f>(273*0.96)</f>
        <v>262.08</v>
      </c>
      <c r="E28" s="126" t="s">
        <v>319</v>
      </c>
      <c r="F28" s="126">
        <f t="shared" si="0"/>
        <v>288</v>
      </c>
      <c r="G28" s="126">
        <f>(101*0.96)</f>
        <v>96.96</v>
      </c>
      <c r="H28" s="126">
        <f>(912*0.96)</f>
        <v>875.52</v>
      </c>
      <c r="I28" s="126" t="s">
        <v>319</v>
      </c>
      <c r="J28" s="134"/>
      <c r="K28" s="134"/>
      <c r="M28" s="126">
        <v>125</v>
      </c>
      <c r="N28" s="126">
        <v>150</v>
      </c>
      <c r="O28" s="126" t="s">
        <v>319</v>
      </c>
      <c r="P28" s="126">
        <v>325</v>
      </c>
      <c r="Q28" s="126">
        <v>125</v>
      </c>
      <c r="R28" s="126">
        <v>945</v>
      </c>
      <c r="S28" s="126" t="s">
        <v>319</v>
      </c>
      <c r="T28" s="134"/>
      <c r="U28" s="134"/>
      <c r="W28" s="126">
        <v>360</v>
      </c>
      <c r="X28" s="126">
        <v>120</v>
      </c>
      <c r="Y28" s="126" t="s">
        <v>319</v>
      </c>
      <c r="Z28" s="126">
        <v>500</v>
      </c>
      <c r="AA28" s="126">
        <v>100</v>
      </c>
      <c r="AB28" s="126">
        <v>960</v>
      </c>
      <c r="AC28" s="126" t="s">
        <v>319</v>
      </c>
      <c r="AD28" s="134"/>
      <c r="AE28" s="134"/>
    </row>
    <row r="29" spans="1:31" ht="14.25" x14ac:dyDescent="0.2">
      <c r="A29" s="22">
        <v>18</v>
      </c>
      <c r="B29" s="31" t="s">
        <v>32</v>
      </c>
      <c r="C29" s="126" t="s">
        <v>319</v>
      </c>
      <c r="D29" s="126" t="s">
        <v>319</v>
      </c>
      <c r="E29" s="126" t="s">
        <v>319</v>
      </c>
      <c r="F29" s="126" t="s">
        <v>319</v>
      </c>
      <c r="G29" s="126">
        <f>(30*0.96)</f>
        <v>28.799999999999997</v>
      </c>
      <c r="H29" s="126">
        <f>(268*0.96)</f>
        <v>257.27999999999997</v>
      </c>
      <c r="I29" s="126" t="s">
        <v>319</v>
      </c>
      <c r="J29" s="134"/>
      <c r="K29" s="134"/>
      <c r="M29" s="126">
        <v>0</v>
      </c>
      <c r="N29" s="126">
        <v>0</v>
      </c>
      <c r="O29" s="126" t="s">
        <v>319</v>
      </c>
      <c r="P29" s="126" t="s">
        <v>319</v>
      </c>
      <c r="Q29" s="126">
        <v>75</v>
      </c>
      <c r="R29" s="126">
        <v>75</v>
      </c>
      <c r="S29" s="126" t="s">
        <v>319</v>
      </c>
      <c r="T29" s="134"/>
      <c r="U29" s="134"/>
      <c r="W29" s="126" t="s">
        <v>319</v>
      </c>
      <c r="X29" s="126" t="s">
        <v>319</v>
      </c>
      <c r="Y29" s="126" t="s">
        <v>319</v>
      </c>
      <c r="Z29" s="126" t="s">
        <v>319</v>
      </c>
      <c r="AA29" s="126">
        <v>30</v>
      </c>
      <c r="AB29" s="126">
        <v>60</v>
      </c>
      <c r="AC29" s="126" t="s">
        <v>319</v>
      </c>
      <c r="AD29" s="134"/>
      <c r="AE29" s="134"/>
    </row>
    <row r="30" spans="1:31" ht="14.25" x14ac:dyDescent="0.2">
      <c r="A30" s="22">
        <v>19</v>
      </c>
      <c r="B30" s="31" t="s">
        <v>33</v>
      </c>
      <c r="C30" s="126" t="s">
        <v>319</v>
      </c>
      <c r="D30" s="126" t="s">
        <v>319</v>
      </c>
      <c r="E30" s="126" t="s">
        <v>319</v>
      </c>
      <c r="F30" s="126" t="s">
        <v>319</v>
      </c>
      <c r="G30" s="126">
        <f>(42*0.96)</f>
        <v>40.32</v>
      </c>
      <c r="H30" s="126">
        <f>(376*0.96)</f>
        <v>360.96</v>
      </c>
      <c r="I30" s="126" t="s">
        <v>319</v>
      </c>
      <c r="J30" s="134"/>
      <c r="K30" s="134"/>
      <c r="M30" s="126">
        <v>125</v>
      </c>
      <c r="N30" s="126">
        <v>200</v>
      </c>
      <c r="O30" s="126" t="s">
        <v>319</v>
      </c>
      <c r="P30" s="126">
        <v>325</v>
      </c>
      <c r="Q30" s="126">
        <v>120</v>
      </c>
      <c r="R30" s="126">
        <v>275</v>
      </c>
      <c r="S30" s="126" t="s">
        <v>319</v>
      </c>
      <c r="T30" s="134"/>
      <c r="U30" s="134"/>
      <c r="W30" s="126">
        <v>360</v>
      </c>
      <c r="X30" s="126">
        <v>120</v>
      </c>
      <c r="Y30" s="126" t="s">
        <v>319</v>
      </c>
      <c r="Z30" s="126" t="s">
        <v>319</v>
      </c>
      <c r="AA30" s="126">
        <v>100</v>
      </c>
      <c r="AB30" s="126">
        <v>240</v>
      </c>
      <c r="AC30" s="126" t="s">
        <v>319</v>
      </c>
      <c r="AD30" s="134"/>
      <c r="AE30" s="134"/>
    </row>
    <row r="31" spans="1:31" ht="14.25" x14ac:dyDescent="0.2">
      <c r="A31" s="22">
        <v>20</v>
      </c>
      <c r="B31" s="31" t="s">
        <v>34</v>
      </c>
      <c r="C31" s="126" t="s">
        <v>319</v>
      </c>
      <c r="D31" s="126" t="s">
        <v>319</v>
      </c>
      <c r="E31" s="126" t="s">
        <v>319</v>
      </c>
      <c r="F31" s="126" t="s">
        <v>319</v>
      </c>
      <c r="G31" s="126">
        <f>(30*0.96)</f>
        <v>28.799999999999997</v>
      </c>
      <c r="H31" s="126">
        <f>(270*0.96)</f>
        <v>259.2</v>
      </c>
      <c r="I31" s="126" t="s">
        <v>319</v>
      </c>
      <c r="J31" s="134"/>
      <c r="K31" s="134"/>
      <c r="M31" s="126" t="s">
        <v>319</v>
      </c>
      <c r="N31" s="126" t="s">
        <v>319</v>
      </c>
      <c r="O31" s="126" t="s">
        <v>319</v>
      </c>
      <c r="P31" s="126" t="s">
        <v>319</v>
      </c>
      <c r="Q31" s="126">
        <v>90</v>
      </c>
      <c r="R31" s="126">
        <v>180</v>
      </c>
      <c r="S31" s="126" t="s">
        <v>319</v>
      </c>
      <c r="T31" s="134"/>
      <c r="U31" s="134"/>
      <c r="W31" s="126" t="s">
        <v>319</v>
      </c>
      <c r="X31" s="126" t="s">
        <v>319</v>
      </c>
      <c r="Y31" s="126" t="s">
        <v>319</v>
      </c>
      <c r="Z31" s="126" t="s">
        <v>319</v>
      </c>
      <c r="AA31" s="126">
        <v>30</v>
      </c>
      <c r="AB31" s="126">
        <v>60</v>
      </c>
      <c r="AC31" s="126" t="s">
        <v>319</v>
      </c>
      <c r="AD31" s="134"/>
      <c r="AE31" s="134"/>
    </row>
    <row r="32" spans="1:31" ht="14.25" x14ac:dyDescent="0.2">
      <c r="A32" s="22">
        <v>21</v>
      </c>
      <c r="B32" s="32" t="s">
        <v>35</v>
      </c>
      <c r="C32" s="126" t="s">
        <v>319</v>
      </c>
      <c r="D32" s="126" t="s">
        <v>319</v>
      </c>
      <c r="E32" s="126" t="s">
        <v>319</v>
      </c>
      <c r="F32" s="126" t="s">
        <v>319</v>
      </c>
      <c r="G32" s="126">
        <f t="shared" ref="G32:G35" si="3">(30*0.96)</f>
        <v>28.799999999999997</v>
      </c>
      <c r="H32" s="126">
        <f t="shared" ref="H32:H35" si="4">(270*0.96)</f>
        <v>259.2</v>
      </c>
      <c r="I32" s="126" t="s">
        <v>319</v>
      </c>
      <c r="J32" s="134"/>
      <c r="K32" s="134"/>
      <c r="M32" s="126" t="s">
        <v>319</v>
      </c>
      <c r="N32" s="126" t="s">
        <v>319</v>
      </c>
      <c r="O32" s="126" t="s">
        <v>319</v>
      </c>
      <c r="P32" s="126" t="s">
        <v>319</v>
      </c>
      <c r="Q32" s="126">
        <v>85</v>
      </c>
      <c r="R32" s="126">
        <v>80</v>
      </c>
      <c r="S32" s="126" t="s">
        <v>319</v>
      </c>
      <c r="T32" s="134"/>
      <c r="U32" s="134"/>
      <c r="W32" s="126" t="s">
        <v>319</v>
      </c>
      <c r="X32" s="126" t="s">
        <v>319</v>
      </c>
      <c r="Y32" s="126" t="s">
        <v>319</v>
      </c>
      <c r="Z32" s="126" t="s">
        <v>319</v>
      </c>
      <c r="AA32" s="126">
        <v>30</v>
      </c>
      <c r="AB32" s="126">
        <v>30</v>
      </c>
      <c r="AC32" s="126" t="s">
        <v>319</v>
      </c>
      <c r="AD32" s="134"/>
      <c r="AE32" s="134"/>
    </row>
    <row r="33" spans="1:31" ht="14.25" x14ac:dyDescent="0.2">
      <c r="A33" s="22">
        <v>22</v>
      </c>
      <c r="B33" s="32" t="s">
        <v>36</v>
      </c>
      <c r="C33" s="126" t="s">
        <v>319</v>
      </c>
      <c r="D33" s="126" t="s">
        <v>319</v>
      </c>
      <c r="E33" s="126" t="s">
        <v>319</v>
      </c>
      <c r="F33" s="126" t="s">
        <v>319</v>
      </c>
      <c r="G33" s="126">
        <f t="shared" si="3"/>
        <v>28.799999999999997</v>
      </c>
      <c r="H33" s="126">
        <f t="shared" si="4"/>
        <v>259.2</v>
      </c>
      <c r="I33" s="126" t="s">
        <v>319</v>
      </c>
      <c r="J33" s="134"/>
      <c r="K33" s="134"/>
      <c r="M33" s="126" t="s">
        <v>319</v>
      </c>
      <c r="N33" s="126" t="s">
        <v>319</v>
      </c>
      <c r="O33" s="126" t="s">
        <v>319</v>
      </c>
      <c r="P33" s="126" t="s">
        <v>319</v>
      </c>
      <c r="Q33" s="126">
        <v>85</v>
      </c>
      <c r="R33" s="126">
        <v>330</v>
      </c>
      <c r="S33" s="126" t="s">
        <v>319</v>
      </c>
      <c r="T33" s="134"/>
      <c r="U33" s="134"/>
      <c r="W33" s="126" t="s">
        <v>319</v>
      </c>
      <c r="X33" s="126" t="s">
        <v>319</v>
      </c>
      <c r="Y33" s="126" t="s">
        <v>319</v>
      </c>
      <c r="Z33" s="126" t="s">
        <v>319</v>
      </c>
      <c r="AA33" s="126">
        <v>150</v>
      </c>
      <c r="AB33" s="126">
        <v>360</v>
      </c>
      <c r="AC33" s="126" t="s">
        <v>319</v>
      </c>
      <c r="AD33" s="134"/>
      <c r="AE33" s="134"/>
    </row>
    <row r="34" spans="1:31" ht="14.25" x14ac:dyDescent="0.2">
      <c r="A34" s="22">
        <v>23</v>
      </c>
      <c r="B34" s="32" t="s">
        <v>37</v>
      </c>
      <c r="C34" s="126" t="s">
        <v>319</v>
      </c>
      <c r="D34" s="126" t="s">
        <v>319</v>
      </c>
      <c r="E34" s="126" t="s">
        <v>319</v>
      </c>
      <c r="F34" s="126" t="s">
        <v>319</v>
      </c>
      <c r="G34" s="126">
        <f t="shared" si="3"/>
        <v>28.799999999999997</v>
      </c>
      <c r="H34" s="126">
        <f t="shared" si="4"/>
        <v>259.2</v>
      </c>
      <c r="I34" s="126" t="s">
        <v>319</v>
      </c>
      <c r="J34" s="134"/>
      <c r="K34" s="134"/>
      <c r="M34" s="126" t="s">
        <v>319</v>
      </c>
      <c r="N34" s="126" t="s">
        <v>319</v>
      </c>
      <c r="O34" s="126" t="s">
        <v>319</v>
      </c>
      <c r="P34" s="126" t="s">
        <v>319</v>
      </c>
      <c r="Q34" s="126">
        <v>90</v>
      </c>
      <c r="R34" s="126">
        <v>470</v>
      </c>
      <c r="S34" s="126" t="s">
        <v>319</v>
      </c>
      <c r="T34" s="134"/>
      <c r="U34" s="134"/>
      <c r="W34" s="126" t="s">
        <v>319</v>
      </c>
      <c r="X34" s="126" t="s">
        <v>319</v>
      </c>
      <c r="Y34" s="126" t="s">
        <v>319</v>
      </c>
      <c r="Z34" s="126" t="s">
        <v>319</v>
      </c>
      <c r="AA34" s="126">
        <v>150</v>
      </c>
      <c r="AB34" s="126">
        <v>480</v>
      </c>
      <c r="AC34" s="126" t="s">
        <v>319</v>
      </c>
      <c r="AD34" s="134"/>
      <c r="AE34" s="134"/>
    </row>
    <row r="35" spans="1:31" ht="14.25" x14ac:dyDescent="0.2">
      <c r="A35" s="22">
        <v>24</v>
      </c>
      <c r="B35" s="32" t="s">
        <v>38</v>
      </c>
      <c r="C35" s="126" t="s">
        <v>319</v>
      </c>
      <c r="D35" s="126" t="s">
        <v>319</v>
      </c>
      <c r="E35" s="126" t="s">
        <v>319</v>
      </c>
      <c r="F35" s="126" t="s">
        <v>319</v>
      </c>
      <c r="G35" s="126">
        <f t="shared" si="3"/>
        <v>28.799999999999997</v>
      </c>
      <c r="H35" s="126">
        <f t="shared" si="4"/>
        <v>259.2</v>
      </c>
      <c r="I35" s="126" t="s">
        <v>319</v>
      </c>
      <c r="J35" s="134"/>
      <c r="K35" s="134"/>
      <c r="M35" s="126" t="s">
        <v>319</v>
      </c>
      <c r="N35" s="126" t="s">
        <v>319</v>
      </c>
      <c r="O35" s="126" t="s">
        <v>319</v>
      </c>
      <c r="P35" s="126" t="s">
        <v>319</v>
      </c>
      <c r="Q35" s="126">
        <v>265</v>
      </c>
      <c r="R35" s="126">
        <v>710</v>
      </c>
      <c r="S35" s="126" t="s">
        <v>319</v>
      </c>
      <c r="T35" s="134"/>
      <c r="U35" s="134"/>
      <c r="W35" s="126" t="s">
        <v>319</v>
      </c>
      <c r="X35" s="126" t="s">
        <v>319</v>
      </c>
      <c r="Y35" s="126" t="s">
        <v>319</v>
      </c>
      <c r="Z35" s="126" t="s">
        <v>319</v>
      </c>
      <c r="AA35" s="126">
        <v>150</v>
      </c>
      <c r="AB35" s="126">
        <v>720</v>
      </c>
      <c r="AC35" s="126" t="s">
        <v>319</v>
      </c>
      <c r="AD35" s="134"/>
      <c r="AE35" s="134"/>
    </row>
    <row r="36" spans="1:31" ht="14.25" x14ac:dyDescent="0.2">
      <c r="A36" s="22">
        <v>25</v>
      </c>
      <c r="B36" s="33" t="s">
        <v>39</v>
      </c>
      <c r="C36" s="126" t="s">
        <v>319</v>
      </c>
      <c r="D36" s="126" t="s">
        <v>319</v>
      </c>
      <c r="E36" s="126" t="s">
        <v>319</v>
      </c>
      <c r="F36" s="126" t="s">
        <v>319</v>
      </c>
      <c r="G36" s="126">
        <f>(42*0.96)</f>
        <v>40.32</v>
      </c>
      <c r="H36" s="126">
        <f>(377*0.96)</f>
        <v>361.91999999999996</v>
      </c>
      <c r="I36" s="126" t="s">
        <v>319</v>
      </c>
      <c r="J36" s="134"/>
      <c r="K36" s="134"/>
      <c r="M36" s="126">
        <v>0</v>
      </c>
      <c r="N36" s="126">
        <v>0</v>
      </c>
      <c r="O36" s="126" t="s">
        <v>319</v>
      </c>
      <c r="P36" s="126" t="s">
        <v>319</v>
      </c>
      <c r="Q36" s="126">
        <v>75</v>
      </c>
      <c r="R36" s="126">
        <v>485</v>
      </c>
      <c r="S36" s="126" t="s">
        <v>319</v>
      </c>
      <c r="T36" s="134"/>
      <c r="U36" s="134"/>
      <c r="W36" s="126" t="s">
        <v>319</v>
      </c>
      <c r="X36" s="126" t="s">
        <v>319</v>
      </c>
      <c r="Y36" s="126" t="s">
        <v>319</v>
      </c>
      <c r="Z36" s="126" t="s">
        <v>319</v>
      </c>
      <c r="AA36" s="126">
        <v>150</v>
      </c>
      <c r="AB36" s="126">
        <v>480</v>
      </c>
      <c r="AC36" s="126" t="s">
        <v>319</v>
      </c>
      <c r="AD36" s="134"/>
      <c r="AE36" s="134"/>
    </row>
    <row r="37" spans="1:31" ht="14.25" x14ac:dyDescent="0.2">
      <c r="A37" s="22">
        <v>26</v>
      </c>
      <c r="B37" s="33" t="s">
        <v>40</v>
      </c>
      <c r="C37" s="126">
        <f>(67*0.96)</f>
        <v>64.319999999999993</v>
      </c>
      <c r="D37" s="126">
        <f>(203*0.96)</f>
        <v>194.88</v>
      </c>
      <c r="E37" s="126" t="s">
        <v>319</v>
      </c>
      <c r="F37" s="126">
        <f t="shared" ref="F37" si="5">+(300*0.96)</f>
        <v>288</v>
      </c>
      <c r="G37" s="126">
        <f>(42*0.96)</f>
        <v>40.32</v>
      </c>
      <c r="H37" s="126">
        <f>(377*0.96)</f>
        <v>361.91999999999996</v>
      </c>
      <c r="I37" s="126" t="s">
        <v>319</v>
      </c>
      <c r="J37" s="134"/>
      <c r="K37" s="134"/>
      <c r="M37" s="126">
        <v>125</v>
      </c>
      <c r="N37" s="126">
        <v>200</v>
      </c>
      <c r="O37" s="126" t="s">
        <v>319</v>
      </c>
      <c r="P37" s="126">
        <v>325</v>
      </c>
      <c r="Q37" s="126">
        <v>110</v>
      </c>
      <c r="R37" s="126">
        <v>260</v>
      </c>
      <c r="S37" s="126" t="s">
        <v>319</v>
      </c>
      <c r="T37" s="134"/>
      <c r="U37" s="134"/>
      <c r="W37" s="126">
        <v>360</v>
      </c>
      <c r="X37" s="126">
        <v>120</v>
      </c>
      <c r="Y37" s="126" t="s">
        <v>319</v>
      </c>
      <c r="Z37" s="126">
        <v>500</v>
      </c>
      <c r="AA37" s="126">
        <v>75</v>
      </c>
      <c r="AB37" s="126">
        <v>120</v>
      </c>
      <c r="AC37" s="126" t="s">
        <v>319</v>
      </c>
      <c r="AD37" s="134"/>
      <c r="AE37" s="134"/>
    </row>
    <row r="38" spans="1:31" ht="14.25" x14ac:dyDescent="0.2">
      <c r="A38" s="22">
        <v>27</v>
      </c>
      <c r="B38" s="33" t="s">
        <v>41</v>
      </c>
      <c r="C38" s="126" t="s">
        <v>319</v>
      </c>
      <c r="D38" s="126" t="s">
        <v>319</v>
      </c>
      <c r="E38" s="126" t="s">
        <v>319</v>
      </c>
      <c r="F38" s="126" t="s">
        <v>319</v>
      </c>
      <c r="G38" s="126">
        <f>(57*0.96)</f>
        <v>54.72</v>
      </c>
      <c r="H38" s="126">
        <f>(513*0.96)</f>
        <v>492.47999999999996</v>
      </c>
      <c r="I38" s="126" t="s">
        <v>319</v>
      </c>
      <c r="J38" s="134"/>
      <c r="K38" s="134"/>
      <c r="M38" s="126">
        <v>125</v>
      </c>
      <c r="N38" s="126">
        <v>200</v>
      </c>
      <c r="O38" s="126" t="s">
        <v>319</v>
      </c>
      <c r="P38" s="126">
        <v>325</v>
      </c>
      <c r="Q38" s="126">
        <v>110</v>
      </c>
      <c r="R38" s="126">
        <v>170</v>
      </c>
      <c r="S38" s="126" t="s">
        <v>319</v>
      </c>
      <c r="T38" s="134"/>
      <c r="U38" s="134"/>
      <c r="W38" s="126">
        <v>360</v>
      </c>
      <c r="X38" s="126">
        <v>120</v>
      </c>
      <c r="Y38" s="126" t="s">
        <v>319</v>
      </c>
      <c r="Z38" s="126">
        <v>500</v>
      </c>
      <c r="AA38" s="126">
        <v>100</v>
      </c>
      <c r="AB38" s="126">
        <v>240</v>
      </c>
      <c r="AC38" s="126" t="s">
        <v>319</v>
      </c>
      <c r="AD38" s="134"/>
      <c r="AE38" s="134"/>
    </row>
    <row r="39" spans="1:31" ht="14.25" x14ac:dyDescent="0.2">
      <c r="A39" s="22">
        <v>28</v>
      </c>
      <c r="B39" s="34" t="s">
        <v>42</v>
      </c>
      <c r="C39" s="126">
        <f>(157*0.96)</f>
        <v>150.72</v>
      </c>
      <c r="D39" s="126">
        <f>(473*0.96)</f>
        <v>454.08</v>
      </c>
      <c r="E39" s="126" t="s">
        <v>319</v>
      </c>
      <c r="F39" s="126">
        <f t="shared" ref="F39:F40" si="6">+(300*0.96)</f>
        <v>288</v>
      </c>
      <c r="G39" s="126">
        <f>(42*0.96)</f>
        <v>40.32</v>
      </c>
      <c r="H39" s="126">
        <f>(377*0.96)</f>
        <v>361.91999999999996</v>
      </c>
      <c r="I39" s="126" t="s">
        <v>319</v>
      </c>
      <c r="J39" s="134"/>
      <c r="K39" s="134"/>
      <c r="M39" s="126">
        <v>125</v>
      </c>
      <c r="N39" s="126">
        <v>200</v>
      </c>
      <c r="O39" s="126" t="s">
        <v>319</v>
      </c>
      <c r="P39" s="126">
        <v>325</v>
      </c>
      <c r="Q39" s="126">
        <v>105</v>
      </c>
      <c r="R39" s="126">
        <v>435</v>
      </c>
      <c r="S39" s="126" t="s">
        <v>319</v>
      </c>
      <c r="T39" s="134"/>
      <c r="U39" s="134"/>
      <c r="W39" s="126">
        <v>360</v>
      </c>
      <c r="X39" s="126">
        <v>120</v>
      </c>
      <c r="Y39" s="126" t="s">
        <v>319</v>
      </c>
      <c r="Z39" s="126">
        <v>500</v>
      </c>
      <c r="AA39" s="126">
        <v>100</v>
      </c>
      <c r="AB39" s="126">
        <v>480</v>
      </c>
      <c r="AC39" s="126" t="s">
        <v>319</v>
      </c>
      <c r="AD39" s="134"/>
      <c r="AE39" s="134"/>
    </row>
    <row r="40" spans="1:31" ht="14.25" x14ac:dyDescent="0.2">
      <c r="A40" s="22">
        <v>29</v>
      </c>
      <c r="B40" s="34" t="s">
        <v>43</v>
      </c>
      <c r="C40" s="126">
        <f>(727*0.96)</f>
        <v>697.92</v>
      </c>
      <c r="D40" s="126">
        <f>(2183*0.96)</f>
        <v>2095.6799999999998</v>
      </c>
      <c r="E40" s="126" t="s">
        <v>319</v>
      </c>
      <c r="F40" s="126">
        <f t="shared" si="6"/>
        <v>288</v>
      </c>
      <c r="G40" s="126">
        <f t="shared" ref="G40" si="7">(30*0.96)</f>
        <v>28.799999999999997</v>
      </c>
      <c r="H40" s="126">
        <f>(268*0.96)</f>
        <v>257.27999999999997</v>
      </c>
      <c r="I40" s="126" t="s">
        <v>319</v>
      </c>
      <c r="J40" s="134"/>
      <c r="K40" s="134"/>
      <c r="M40" s="126">
        <v>850</v>
      </c>
      <c r="N40" s="126">
        <v>2100</v>
      </c>
      <c r="O40" s="126">
        <v>100</v>
      </c>
      <c r="P40" s="126">
        <v>325</v>
      </c>
      <c r="Q40" s="126">
        <v>85</v>
      </c>
      <c r="R40" s="126">
        <v>670</v>
      </c>
      <c r="S40" s="126" t="s">
        <v>319</v>
      </c>
      <c r="T40" s="134"/>
      <c r="U40" s="134"/>
      <c r="W40" s="126">
        <v>1800</v>
      </c>
      <c r="X40" s="126">
        <v>600</v>
      </c>
      <c r="Y40" s="126">
        <v>120</v>
      </c>
      <c r="Z40" s="126">
        <v>500</v>
      </c>
      <c r="AA40" s="126">
        <v>100</v>
      </c>
      <c r="AB40" s="126">
        <v>720</v>
      </c>
      <c r="AC40" s="126" t="s">
        <v>319</v>
      </c>
      <c r="AD40" s="134"/>
      <c r="AE40" s="134"/>
    </row>
    <row r="41" spans="1:31" ht="14.25" x14ac:dyDescent="0.2">
      <c r="A41" s="22">
        <v>30</v>
      </c>
      <c r="B41" s="34" t="s">
        <v>44</v>
      </c>
      <c r="C41" s="126" t="s">
        <v>319</v>
      </c>
      <c r="D41" s="126" t="s">
        <v>319</v>
      </c>
      <c r="E41" s="126" t="s">
        <v>319</v>
      </c>
      <c r="F41" s="126" t="s">
        <v>319</v>
      </c>
      <c r="G41" s="126">
        <f>(24*0.96)</f>
        <v>23.04</v>
      </c>
      <c r="H41" s="126">
        <f>(216*0.96)</f>
        <v>207.35999999999999</v>
      </c>
      <c r="I41" s="126" t="s">
        <v>319</v>
      </c>
      <c r="J41" s="126">
        <v>23</v>
      </c>
      <c r="K41" s="126">
        <v>150</v>
      </c>
      <c r="M41" s="126">
        <v>125</v>
      </c>
      <c r="N41" s="126">
        <v>200</v>
      </c>
      <c r="O41" s="126" t="s">
        <v>319</v>
      </c>
      <c r="P41" s="126">
        <v>325</v>
      </c>
      <c r="Q41" s="126">
        <v>75</v>
      </c>
      <c r="R41" s="126">
        <v>95</v>
      </c>
      <c r="S41" s="126" t="s">
        <v>319</v>
      </c>
      <c r="T41" s="126">
        <v>18</v>
      </c>
      <c r="U41" s="126">
        <v>70</v>
      </c>
      <c r="W41" s="126" t="s">
        <v>319</v>
      </c>
      <c r="X41" s="126" t="s">
        <v>319</v>
      </c>
      <c r="Y41" s="126" t="s">
        <v>319</v>
      </c>
      <c r="Z41" s="126" t="s">
        <v>319</v>
      </c>
      <c r="AA41" s="126">
        <v>30</v>
      </c>
      <c r="AB41" s="126">
        <v>30</v>
      </c>
      <c r="AC41" s="126" t="s">
        <v>319</v>
      </c>
      <c r="AD41" s="126">
        <v>31.25</v>
      </c>
      <c r="AE41" s="126">
        <v>100</v>
      </c>
    </row>
    <row r="42" spans="1:31" ht="14.25" x14ac:dyDescent="0.2">
      <c r="A42" s="22">
        <v>31</v>
      </c>
      <c r="B42" s="34" t="s">
        <v>45</v>
      </c>
      <c r="C42" s="126">
        <f>(112*0.96)</f>
        <v>107.52</v>
      </c>
      <c r="D42" s="126">
        <f>(338*0.96)</f>
        <v>324.47999999999996</v>
      </c>
      <c r="E42" s="126" t="s">
        <v>319</v>
      </c>
      <c r="F42" s="126">
        <f t="shared" ref="F42" si="8">+(300*0.96)</f>
        <v>288</v>
      </c>
      <c r="G42" s="126">
        <f t="shared" ref="G42" si="9">(30*0.96)</f>
        <v>28.799999999999997</v>
      </c>
      <c r="H42" s="126">
        <f>(270*0.96)</f>
        <v>259.2</v>
      </c>
      <c r="I42" s="126" t="s">
        <v>319</v>
      </c>
      <c r="J42" s="134"/>
      <c r="K42" s="134"/>
      <c r="M42" s="126">
        <v>150</v>
      </c>
      <c r="N42" s="126">
        <v>200</v>
      </c>
      <c r="O42" s="126" t="s">
        <v>319</v>
      </c>
      <c r="P42" s="126">
        <v>325</v>
      </c>
      <c r="Q42" s="126">
        <v>80</v>
      </c>
      <c r="R42" s="126">
        <v>100</v>
      </c>
      <c r="S42" s="126" t="s">
        <v>319</v>
      </c>
      <c r="T42" s="134"/>
      <c r="U42" s="134"/>
      <c r="W42" s="126">
        <v>360</v>
      </c>
      <c r="X42" s="126">
        <v>120</v>
      </c>
      <c r="Y42" s="126" t="s">
        <v>319</v>
      </c>
      <c r="Z42" s="126">
        <v>500</v>
      </c>
      <c r="AA42" s="126">
        <v>30</v>
      </c>
      <c r="AB42" s="126">
        <v>30</v>
      </c>
      <c r="AC42" s="126" t="s">
        <v>319</v>
      </c>
      <c r="AD42" s="134"/>
      <c r="AE42" s="134"/>
    </row>
    <row r="43" spans="1:31" ht="14.25" x14ac:dyDescent="0.2">
      <c r="A43" s="22">
        <v>32</v>
      </c>
      <c r="B43" s="34" t="s">
        <v>46</v>
      </c>
      <c r="C43" s="126" t="s">
        <v>319</v>
      </c>
      <c r="D43" s="126" t="s">
        <v>319</v>
      </c>
      <c r="E43" s="126" t="s">
        <v>319</v>
      </c>
      <c r="F43" s="126" t="s">
        <v>319</v>
      </c>
      <c r="G43" s="126">
        <f>(24*0.96)</f>
        <v>23.04</v>
      </c>
      <c r="H43" s="126">
        <f>(216*0.96)</f>
        <v>207.35999999999999</v>
      </c>
      <c r="I43" s="126" t="s">
        <v>319</v>
      </c>
      <c r="J43" s="126">
        <v>23</v>
      </c>
      <c r="K43" s="126">
        <v>150</v>
      </c>
      <c r="M43" s="126" t="s">
        <v>319</v>
      </c>
      <c r="N43" s="126" t="s">
        <v>319</v>
      </c>
      <c r="O43" s="126" t="s">
        <v>319</v>
      </c>
      <c r="P43" s="126" t="s">
        <v>319</v>
      </c>
      <c r="Q43" s="126">
        <v>75</v>
      </c>
      <c r="R43" s="126">
        <v>910</v>
      </c>
      <c r="S43" s="126" t="s">
        <v>319</v>
      </c>
      <c r="T43" s="126">
        <v>18</v>
      </c>
      <c r="U43" s="126">
        <v>70</v>
      </c>
      <c r="W43" s="126" t="s">
        <v>319</v>
      </c>
      <c r="X43" s="126" t="s">
        <v>319</v>
      </c>
      <c r="Y43" s="126" t="s">
        <v>319</v>
      </c>
      <c r="Z43" s="126" t="s">
        <v>319</v>
      </c>
      <c r="AA43" s="126">
        <v>100</v>
      </c>
      <c r="AB43" s="126">
        <v>120</v>
      </c>
      <c r="AC43" s="126" t="s">
        <v>319</v>
      </c>
      <c r="AD43" s="126" t="s">
        <v>319</v>
      </c>
      <c r="AE43" s="126" t="s">
        <v>319</v>
      </c>
    </row>
    <row r="44" spans="1:31" ht="14.25" x14ac:dyDescent="0.2">
      <c r="A44" s="22">
        <v>33</v>
      </c>
      <c r="B44" s="34" t="s">
        <v>47</v>
      </c>
      <c r="C44" s="126">
        <f>(112*0.96)</f>
        <v>107.52</v>
      </c>
      <c r="D44" s="126">
        <f>(338*0.96)</f>
        <v>324.47999999999996</v>
      </c>
      <c r="E44" s="126" t="s">
        <v>319</v>
      </c>
      <c r="F44" s="126">
        <f t="shared" ref="F44" si="10">+(300*0.96)</f>
        <v>288</v>
      </c>
      <c r="G44" s="126">
        <f>(24*0.96)</f>
        <v>23.04</v>
      </c>
      <c r="H44" s="126">
        <f>(216*0.96)</f>
        <v>207.35999999999999</v>
      </c>
      <c r="I44" s="126" t="s">
        <v>319</v>
      </c>
      <c r="J44" s="134"/>
      <c r="K44" s="134"/>
      <c r="M44" s="126" t="s">
        <v>319</v>
      </c>
      <c r="N44" s="126" t="s">
        <v>319</v>
      </c>
      <c r="O44" s="126" t="s">
        <v>319</v>
      </c>
      <c r="P44" s="126" t="s">
        <v>319</v>
      </c>
      <c r="Q44" s="126">
        <v>75</v>
      </c>
      <c r="R44" s="126">
        <v>100</v>
      </c>
      <c r="S44" s="126" t="s">
        <v>319</v>
      </c>
      <c r="T44" s="134"/>
      <c r="U44" s="134"/>
      <c r="W44" s="126">
        <v>360</v>
      </c>
      <c r="X44" s="126">
        <v>120</v>
      </c>
      <c r="Y44" s="126">
        <v>120</v>
      </c>
      <c r="Z44" s="126" t="s">
        <v>319</v>
      </c>
      <c r="AA44" s="126">
        <v>30</v>
      </c>
      <c r="AB44" s="126">
        <v>30</v>
      </c>
      <c r="AC44" s="126" t="s">
        <v>319</v>
      </c>
      <c r="AD44" s="134"/>
      <c r="AE44" s="134"/>
    </row>
    <row r="45" spans="1:31" ht="14.25" x14ac:dyDescent="0.2">
      <c r="A45" s="22">
        <v>34</v>
      </c>
      <c r="B45" s="34" t="s">
        <v>48</v>
      </c>
      <c r="C45" s="126" t="s">
        <v>319</v>
      </c>
      <c r="D45" s="126" t="s">
        <v>319</v>
      </c>
      <c r="E45" s="126" t="s">
        <v>319</v>
      </c>
      <c r="F45" s="126" t="s">
        <v>319</v>
      </c>
      <c r="G45" s="126">
        <f>(12*0.96)</f>
        <v>11.52</v>
      </c>
      <c r="H45" s="126">
        <f>(110*0.96)</f>
        <v>105.6</v>
      </c>
      <c r="I45" s="126" t="s">
        <v>319</v>
      </c>
      <c r="J45" s="126">
        <v>23</v>
      </c>
      <c r="K45" s="126">
        <v>150</v>
      </c>
      <c r="M45" s="126" t="s">
        <v>319</v>
      </c>
      <c r="N45" s="126" t="s">
        <v>319</v>
      </c>
      <c r="O45" s="126" t="s">
        <v>319</v>
      </c>
      <c r="P45" s="126" t="s">
        <v>319</v>
      </c>
      <c r="Q45" s="126">
        <v>75</v>
      </c>
      <c r="R45" s="126">
        <v>150</v>
      </c>
      <c r="S45" s="126" t="s">
        <v>319</v>
      </c>
      <c r="T45" s="126">
        <v>18</v>
      </c>
      <c r="U45" s="126">
        <v>70</v>
      </c>
      <c r="W45" s="126" t="s">
        <v>319</v>
      </c>
      <c r="X45" s="126" t="s">
        <v>319</v>
      </c>
      <c r="Y45" s="126" t="s">
        <v>319</v>
      </c>
      <c r="Z45" s="126" t="s">
        <v>319</v>
      </c>
      <c r="AA45" s="126">
        <v>30</v>
      </c>
      <c r="AB45" s="126">
        <v>30</v>
      </c>
      <c r="AC45" s="126" t="s">
        <v>319</v>
      </c>
      <c r="AD45" s="126" t="s">
        <v>319</v>
      </c>
      <c r="AE45" s="126" t="s">
        <v>319</v>
      </c>
    </row>
    <row r="46" spans="1:31" ht="14.25" x14ac:dyDescent="0.2">
      <c r="A46" s="22">
        <v>35</v>
      </c>
      <c r="B46" s="34" t="s">
        <v>49</v>
      </c>
      <c r="C46" s="126">
        <f>(178*0.96)</f>
        <v>170.88</v>
      </c>
      <c r="D46" s="126">
        <f>(1609*0.96)</f>
        <v>1544.6399999999999</v>
      </c>
      <c r="E46" s="126" t="s">
        <v>319</v>
      </c>
      <c r="F46" s="126">
        <f t="shared" ref="F46" si="11">+(300*0.96)</f>
        <v>288</v>
      </c>
      <c r="G46" s="126">
        <f>(101*0.96)</f>
        <v>96.96</v>
      </c>
      <c r="H46" s="126">
        <f>(911*0.96)</f>
        <v>874.56</v>
      </c>
      <c r="I46" s="126" t="s">
        <v>319</v>
      </c>
      <c r="J46" s="126">
        <v>23</v>
      </c>
      <c r="K46" s="126">
        <v>150</v>
      </c>
      <c r="L46" s="151"/>
      <c r="M46" s="126" t="s">
        <v>319</v>
      </c>
      <c r="N46" s="126" t="s">
        <v>319</v>
      </c>
      <c r="O46" s="126" t="s">
        <v>319</v>
      </c>
      <c r="P46" s="126" t="s">
        <v>319</v>
      </c>
      <c r="Q46" s="126">
        <v>95</v>
      </c>
      <c r="R46" s="126">
        <v>1480</v>
      </c>
      <c r="S46" s="126" t="s">
        <v>319</v>
      </c>
      <c r="T46" s="126">
        <v>18</v>
      </c>
      <c r="U46" s="126">
        <v>70</v>
      </c>
      <c r="W46" s="126">
        <v>720</v>
      </c>
      <c r="X46" s="126">
        <v>240</v>
      </c>
      <c r="Y46" s="126" t="s">
        <v>319</v>
      </c>
      <c r="Z46" s="126">
        <v>500</v>
      </c>
      <c r="AA46" s="126">
        <v>100</v>
      </c>
      <c r="AB46" s="126">
        <v>1440</v>
      </c>
      <c r="AC46" s="126" t="s">
        <v>319</v>
      </c>
      <c r="AD46" s="126">
        <v>31.25</v>
      </c>
      <c r="AE46" s="126">
        <v>100</v>
      </c>
    </row>
    <row r="47" spans="1:31" ht="14.25" x14ac:dyDescent="0.2">
      <c r="A47" s="22">
        <v>36</v>
      </c>
      <c r="B47" s="34" t="s">
        <v>50</v>
      </c>
      <c r="C47" s="126" t="s">
        <v>319</v>
      </c>
      <c r="D47" s="126" t="s">
        <v>319</v>
      </c>
      <c r="E47" s="126" t="s">
        <v>319</v>
      </c>
      <c r="F47" s="126" t="s">
        <v>319</v>
      </c>
      <c r="G47" s="126" t="s">
        <v>319</v>
      </c>
      <c r="H47" s="126" t="s">
        <v>319</v>
      </c>
      <c r="I47" s="126" t="s">
        <v>319</v>
      </c>
      <c r="J47" s="134"/>
      <c r="K47" s="134"/>
      <c r="M47" s="126" t="s">
        <v>319</v>
      </c>
      <c r="N47" s="126" t="s">
        <v>319</v>
      </c>
      <c r="O47" s="126" t="s">
        <v>319</v>
      </c>
      <c r="P47" s="126" t="s">
        <v>319</v>
      </c>
      <c r="Q47" s="126">
        <v>75</v>
      </c>
      <c r="R47" s="126">
        <v>250</v>
      </c>
      <c r="S47" s="126" t="s">
        <v>319</v>
      </c>
      <c r="T47" s="134"/>
      <c r="U47" s="134"/>
      <c r="W47" s="126" t="s">
        <v>319</v>
      </c>
      <c r="X47" s="126" t="s">
        <v>319</v>
      </c>
      <c r="Y47" s="126" t="s">
        <v>319</v>
      </c>
      <c r="Z47" s="126" t="s">
        <v>319</v>
      </c>
      <c r="AA47" s="126" t="s">
        <v>319</v>
      </c>
      <c r="AB47" s="126" t="s">
        <v>319</v>
      </c>
      <c r="AC47" s="126" t="s">
        <v>319</v>
      </c>
      <c r="AD47" s="134"/>
      <c r="AE47" s="134"/>
    </row>
    <row r="48" spans="1:31" ht="14.25" x14ac:dyDescent="0.2">
      <c r="A48" s="22">
        <v>37</v>
      </c>
      <c r="B48" s="34" t="s">
        <v>51</v>
      </c>
      <c r="C48" s="126" t="s">
        <v>319</v>
      </c>
      <c r="D48" s="126" t="s">
        <v>319</v>
      </c>
      <c r="E48" s="126" t="s">
        <v>319</v>
      </c>
      <c r="F48" s="126" t="s">
        <v>319</v>
      </c>
      <c r="G48" s="126">
        <f>(24*0.96)</f>
        <v>23.04</v>
      </c>
      <c r="H48" s="126">
        <f>(216*0.96)</f>
        <v>207.35999999999999</v>
      </c>
      <c r="I48" s="126" t="s">
        <v>319</v>
      </c>
      <c r="J48" s="134"/>
      <c r="K48" s="134"/>
      <c r="M48" s="126" t="s">
        <v>319</v>
      </c>
      <c r="N48" s="126" t="s">
        <v>319</v>
      </c>
      <c r="O48" s="126" t="s">
        <v>319</v>
      </c>
      <c r="P48" s="126" t="s">
        <v>319</v>
      </c>
      <c r="Q48" s="126">
        <v>85</v>
      </c>
      <c r="R48" s="126">
        <v>125</v>
      </c>
      <c r="S48" s="126" t="s">
        <v>319</v>
      </c>
      <c r="T48" s="134"/>
      <c r="U48" s="134"/>
      <c r="W48" s="126" t="s">
        <v>319</v>
      </c>
      <c r="X48" s="126" t="s">
        <v>319</v>
      </c>
      <c r="Y48" s="126" t="s">
        <v>319</v>
      </c>
      <c r="Z48" s="126" t="s">
        <v>319</v>
      </c>
      <c r="AA48" s="126">
        <v>30</v>
      </c>
      <c r="AB48" s="126">
        <v>30</v>
      </c>
      <c r="AC48" s="126" t="s">
        <v>319</v>
      </c>
      <c r="AD48" s="134"/>
      <c r="AE48" s="134"/>
    </row>
    <row r="49" spans="1:31" ht="14.25" x14ac:dyDescent="0.2">
      <c r="A49" s="22">
        <v>38</v>
      </c>
      <c r="B49" s="34" t="s">
        <v>52</v>
      </c>
      <c r="C49" s="126" t="s">
        <v>319</v>
      </c>
      <c r="D49" s="126" t="s">
        <v>319</v>
      </c>
      <c r="E49" s="126" t="s">
        <v>319</v>
      </c>
      <c r="F49" s="126" t="s">
        <v>319</v>
      </c>
      <c r="G49" s="126">
        <f t="shared" ref="G49" si="12">(30*0.96)</f>
        <v>28.799999999999997</v>
      </c>
      <c r="H49" s="126">
        <f>(100*0.96)</f>
        <v>96</v>
      </c>
      <c r="I49" s="126" t="s">
        <v>319</v>
      </c>
      <c r="J49" s="134"/>
      <c r="K49" s="134"/>
      <c r="M49" s="126" t="s">
        <v>319</v>
      </c>
      <c r="N49" s="126" t="s">
        <v>319</v>
      </c>
      <c r="O49" s="126" t="s">
        <v>319</v>
      </c>
      <c r="P49" s="126" t="s">
        <v>319</v>
      </c>
      <c r="Q49" s="126">
        <v>75</v>
      </c>
      <c r="R49" s="126">
        <v>75</v>
      </c>
      <c r="S49" s="126" t="s">
        <v>319</v>
      </c>
      <c r="T49" s="134"/>
      <c r="U49" s="134"/>
      <c r="W49" s="126" t="s">
        <v>319</v>
      </c>
      <c r="X49" s="126" t="s">
        <v>319</v>
      </c>
      <c r="Y49" s="126" t="s">
        <v>319</v>
      </c>
      <c r="Z49" s="126" t="s">
        <v>319</v>
      </c>
      <c r="AA49" s="126">
        <v>30</v>
      </c>
      <c r="AB49" s="126">
        <v>30</v>
      </c>
      <c r="AC49" s="126" t="s">
        <v>319</v>
      </c>
      <c r="AD49" s="134"/>
      <c r="AE49" s="134"/>
    </row>
    <row r="50" spans="1:31" ht="14.25" x14ac:dyDescent="0.2">
      <c r="A50" s="22">
        <v>39</v>
      </c>
      <c r="B50" s="35" t="s">
        <v>53</v>
      </c>
      <c r="C50" s="126" t="s">
        <v>319</v>
      </c>
      <c r="D50" s="126" t="s">
        <v>319</v>
      </c>
      <c r="E50" s="126" t="s">
        <v>319</v>
      </c>
      <c r="F50" s="126" t="s">
        <v>319</v>
      </c>
      <c r="G50" s="126">
        <f>(24*0.96)</f>
        <v>23.04</v>
      </c>
      <c r="H50" s="126">
        <f>(216*0.96)</f>
        <v>207.35999999999999</v>
      </c>
      <c r="I50" s="126" t="s">
        <v>319</v>
      </c>
      <c r="J50" s="134"/>
      <c r="K50" s="134"/>
      <c r="M50" s="126" t="s">
        <v>319</v>
      </c>
      <c r="N50" s="126" t="s">
        <v>319</v>
      </c>
      <c r="O50" s="126" t="s">
        <v>319</v>
      </c>
      <c r="P50" s="126" t="s">
        <v>319</v>
      </c>
      <c r="Q50" s="126">
        <v>85</v>
      </c>
      <c r="R50" s="126">
        <v>125</v>
      </c>
      <c r="S50" s="126" t="s">
        <v>319</v>
      </c>
      <c r="T50" s="134"/>
      <c r="U50" s="134"/>
      <c r="W50" s="126" t="s">
        <v>319</v>
      </c>
      <c r="X50" s="126" t="s">
        <v>319</v>
      </c>
      <c r="Y50" s="126" t="s">
        <v>319</v>
      </c>
      <c r="Z50" s="126" t="s">
        <v>319</v>
      </c>
      <c r="AA50" s="126">
        <v>30</v>
      </c>
      <c r="AB50" s="126">
        <v>60</v>
      </c>
      <c r="AC50" s="126" t="s">
        <v>319</v>
      </c>
      <c r="AD50" s="134"/>
      <c r="AE50" s="134"/>
    </row>
    <row r="51" spans="1:31" ht="14.25" x14ac:dyDescent="0.2">
      <c r="A51" s="22">
        <v>40</v>
      </c>
      <c r="B51" s="35" t="s">
        <v>54</v>
      </c>
      <c r="C51" s="126" t="s">
        <v>319</v>
      </c>
      <c r="D51" s="126" t="s">
        <v>319</v>
      </c>
      <c r="E51" s="126" t="s">
        <v>319</v>
      </c>
      <c r="F51" s="126" t="s">
        <v>319</v>
      </c>
      <c r="G51" s="126" t="s">
        <v>319</v>
      </c>
      <c r="H51" s="126" t="s">
        <v>319</v>
      </c>
      <c r="I51" s="126" t="s">
        <v>319</v>
      </c>
      <c r="J51" s="134"/>
      <c r="K51" s="134"/>
      <c r="M51" s="126" t="s">
        <v>319</v>
      </c>
      <c r="N51" s="126" t="s">
        <v>319</v>
      </c>
      <c r="O51" s="126" t="s">
        <v>319</v>
      </c>
      <c r="P51" s="126" t="s">
        <v>319</v>
      </c>
      <c r="Q51" s="126" t="s">
        <v>319</v>
      </c>
      <c r="R51" s="126" t="s">
        <v>319</v>
      </c>
      <c r="S51" s="126" t="s">
        <v>319</v>
      </c>
      <c r="T51" s="134"/>
      <c r="U51" s="134"/>
      <c r="W51" s="126">
        <v>50</v>
      </c>
      <c r="X51" s="126">
        <v>50</v>
      </c>
      <c r="Y51" s="126" t="s">
        <v>319</v>
      </c>
      <c r="Z51" s="126">
        <v>500</v>
      </c>
      <c r="AA51" s="126">
        <v>75</v>
      </c>
      <c r="AB51" s="126">
        <v>100</v>
      </c>
      <c r="AC51" s="126" t="s">
        <v>319</v>
      </c>
      <c r="AD51" s="134"/>
      <c r="AE51" s="134"/>
    </row>
    <row r="52" spans="1:31" ht="14.25" x14ac:dyDescent="0.2">
      <c r="A52" s="22">
        <v>41</v>
      </c>
      <c r="B52" s="34" t="s">
        <v>55</v>
      </c>
      <c r="C52" s="126" t="s">
        <v>319</v>
      </c>
      <c r="D52" s="126" t="s">
        <v>319</v>
      </c>
      <c r="E52" s="126" t="s">
        <v>319</v>
      </c>
      <c r="F52" s="126" t="s">
        <v>319</v>
      </c>
      <c r="G52" s="126">
        <f>(42*0.96)</f>
        <v>40.32</v>
      </c>
      <c r="H52" s="126">
        <f>(200*0.96)</f>
        <v>192</v>
      </c>
      <c r="I52" s="126" t="s">
        <v>319</v>
      </c>
      <c r="J52" s="134"/>
      <c r="K52" s="134"/>
      <c r="M52" s="126" t="s">
        <v>319</v>
      </c>
      <c r="N52" s="126" t="s">
        <v>319</v>
      </c>
      <c r="O52" s="126" t="s">
        <v>319</v>
      </c>
      <c r="P52" s="126" t="s">
        <v>319</v>
      </c>
      <c r="Q52" s="126">
        <v>75</v>
      </c>
      <c r="R52" s="126">
        <v>150</v>
      </c>
      <c r="S52" s="126" t="s">
        <v>319</v>
      </c>
      <c r="T52" s="134"/>
      <c r="U52" s="134"/>
      <c r="W52" s="126" t="s">
        <v>319</v>
      </c>
      <c r="X52" s="126" t="s">
        <v>319</v>
      </c>
      <c r="Y52" s="126" t="s">
        <v>319</v>
      </c>
      <c r="Z52" s="126" t="s">
        <v>319</v>
      </c>
      <c r="AA52" s="126" t="s">
        <v>319</v>
      </c>
      <c r="AB52" s="126" t="s">
        <v>319</v>
      </c>
      <c r="AC52" s="126" t="s">
        <v>319</v>
      </c>
      <c r="AD52" s="134"/>
      <c r="AE52" s="134"/>
    </row>
    <row r="53" spans="1:31" ht="14.25" x14ac:dyDescent="0.2">
      <c r="A53" s="22">
        <v>42</v>
      </c>
      <c r="B53" s="34" t="s">
        <v>56</v>
      </c>
      <c r="C53" s="126" t="s">
        <v>319</v>
      </c>
      <c r="D53" s="126" t="s">
        <v>319</v>
      </c>
      <c r="E53" s="126" t="s">
        <v>319</v>
      </c>
      <c r="F53" s="126" t="s">
        <v>319</v>
      </c>
      <c r="G53" s="126">
        <f>(36*0.96)</f>
        <v>34.56</v>
      </c>
      <c r="H53" s="126">
        <f>(324*0.96)</f>
        <v>311.03999999999996</v>
      </c>
      <c r="I53" s="126" t="s">
        <v>319</v>
      </c>
      <c r="J53" s="134"/>
      <c r="K53" s="134"/>
      <c r="M53" s="126" t="s">
        <v>319</v>
      </c>
      <c r="N53" s="126" t="s">
        <v>319</v>
      </c>
      <c r="O53" s="126" t="s">
        <v>319</v>
      </c>
      <c r="P53" s="126" t="s">
        <v>319</v>
      </c>
      <c r="Q53" s="126">
        <v>75</v>
      </c>
      <c r="R53" s="126">
        <v>400</v>
      </c>
      <c r="S53" s="126" t="s">
        <v>319</v>
      </c>
      <c r="T53" s="134"/>
      <c r="U53" s="134"/>
      <c r="W53" s="126" t="s">
        <v>319</v>
      </c>
      <c r="X53" s="126" t="s">
        <v>319</v>
      </c>
      <c r="Y53" s="126" t="s">
        <v>319</v>
      </c>
      <c r="Z53" s="126" t="s">
        <v>319</v>
      </c>
      <c r="AA53" s="126">
        <v>100</v>
      </c>
      <c r="AB53" s="126">
        <v>480</v>
      </c>
      <c r="AC53" s="126" t="s">
        <v>319</v>
      </c>
      <c r="AD53" s="134"/>
      <c r="AE53" s="134"/>
    </row>
    <row r="54" spans="1:31" ht="14.25" x14ac:dyDescent="0.2">
      <c r="A54" s="22">
        <v>43</v>
      </c>
      <c r="B54" s="34" t="s">
        <v>57</v>
      </c>
      <c r="C54" s="126">
        <f>(125*0.96)</f>
        <v>120</v>
      </c>
      <c r="D54" s="126">
        <f>(125*0.96)</f>
        <v>120</v>
      </c>
      <c r="E54" s="126" t="s">
        <v>319</v>
      </c>
      <c r="F54" s="126">
        <f t="shared" ref="F54" si="13">+(300*0.96)</f>
        <v>288</v>
      </c>
      <c r="G54" s="126">
        <f>(18*0.96)</f>
        <v>17.28</v>
      </c>
      <c r="H54" s="126">
        <f>(162*0.96)</f>
        <v>155.51999999999998</v>
      </c>
      <c r="I54" s="126" t="s">
        <v>319</v>
      </c>
      <c r="J54" s="134"/>
      <c r="K54" s="134"/>
      <c r="M54" s="126" t="s">
        <v>319</v>
      </c>
      <c r="N54" s="126" t="s">
        <v>319</v>
      </c>
      <c r="O54" s="126" t="s">
        <v>319</v>
      </c>
      <c r="P54" s="126" t="s">
        <v>319</v>
      </c>
      <c r="Q54" s="126">
        <v>75</v>
      </c>
      <c r="R54" s="126">
        <v>200</v>
      </c>
      <c r="S54" s="126" t="s">
        <v>319</v>
      </c>
      <c r="T54" s="134"/>
      <c r="U54" s="134"/>
      <c r="W54" s="126">
        <v>360</v>
      </c>
      <c r="X54" s="126">
        <v>120</v>
      </c>
      <c r="Y54" s="126" t="s">
        <v>319</v>
      </c>
      <c r="Z54" s="126">
        <v>500</v>
      </c>
      <c r="AA54" s="126">
        <v>75</v>
      </c>
      <c r="AB54" s="126">
        <v>180</v>
      </c>
      <c r="AC54" s="126" t="s">
        <v>319</v>
      </c>
      <c r="AD54" s="134"/>
      <c r="AE54" s="134"/>
    </row>
    <row r="55" spans="1:31" ht="14.25" x14ac:dyDescent="0.2">
      <c r="A55" s="22">
        <v>44</v>
      </c>
      <c r="B55" s="35" t="s">
        <v>34</v>
      </c>
      <c r="C55" s="126" t="s">
        <v>319</v>
      </c>
      <c r="D55" s="126" t="s">
        <v>319</v>
      </c>
      <c r="E55" s="126" t="s">
        <v>319</v>
      </c>
      <c r="F55" s="126" t="s">
        <v>319</v>
      </c>
      <c r="G55" s="126">
        <f t="shared" ref="G55" si="14">(30*0.96)</f>
        <v>28.799999999999997</v>
      </c>
      <c r="H55" s="126">
        <f>(200*0.96)</f>
        <v>192</v>
      </c>
      <c r="I55" s="126" t="s">
        <v>319</v>
      </c>
      <c r="J55" s="134"/>
      <c r="K55" s="134"/>
      <c r="M55" s="126" t="s">
        <v>319</v>
      </c>
      <c r="N55" s="126" t="s">
        <v>319</v>
      </c>
      <c r="O55" s="126" t="s">
        <v>319</v>
      </c>
      <c r="P55" s="126" t="s">
        <v>319</v>
      </c>
      <c r="Q55" s="126">
        <v>90</v>
      </c>
      <c r="R55" s="126">
        <v>180</v>
      </c>
      <c r="S55" s="126" t="s">
        <v>319</v>
      </c>
      <c r="T55" s="134"/>
      <c r="U55" s="134"/>
      <c r="W55" s="126" t="s">
        <v>319</v>
      </c>
      <c r="X55" s="126" t="s">
        <v>319</v>
      </c>
      <c r="Y55" s="126" t="s">
        <v>319</v>
      </c>
      <c r="Z55" s="126" t="s">
        <v>319</v>
      </c>
      <c r="AA55" s="126">
        <v>30</v>
      </c>
      <c r="AB55" s="126">
        <v>60</v>
      </c>
      <c r="AC55" s="126" t="s">
        <v>319</v>
      </c>
      <c r="AD55" s="134"/>
      <c r="AE55" s="134"/>
    </row>
    <row r="56" spans="1:31" ht="14.25" x14ac:dyDescent="0.2">
      <c r="A56" s="22">
        <v>45</v>
      </c>
      <c r="B56" s="34" t="s">
        <v>58</v>
      </c>
      <c r="C56" s="126" t="s">
        <v>319</v>
      </c>
      <c r="D56" s="126" t="s">
        <v>319</v>
      </c>
      <c r="E56" s="126" t="s">
        <v>319</v>
      </c>
      <c r="F56" s="126" t="s">
        <v>319</v>
      </c>
      <c r="G56" s="126">
        <f>(65*0.96)</f>
        <v>62.4</v>
      </c>
      <c r="H56" s="126">
        <f>(485*0.96)</f>
        <v>465.59999999999997</v>
      </c>
      <c r="I56" s="126" t="s">
        <v>319</v>
      </c>
      <c r="J56" s="134"/>
      <c r="K56" s="134"/>
      <c r="M56" s="126" t="s">
        <v>319</v>
      </c>
      <c r="N56" s="126" t="s">
        <v>319</v>
      </c>
      <c r="O56" s="126" t="s">
        <v>319</v>
      </c>
      <c r="P56" s="126" t="s">
        <v>319</v>
      </c>
      <c r="Q56" s="126">
        <v>100</v>
      </c>
      <c r="R56" s="126">
        <v>560</v>
      </c>
      <c r="S56" s="126" t="s">
        <v>319</v>
      </c>
      <c r="T56" s="134"/>
      <c r="U56" s="134"/>
      <c r="W56" s="126" t="s">
        <v>319</v>
      </c>
      <c r="X56" s="126" t="s">
        <v>319</v>
      </c>
      <c r="Y56" s="126" t="s">
        <v>319</v>
      </c>
      <c r="Z56" s="126" t="s">
        <v>319</v>
      </c>
      <c r="AA56" s="126">
        <v>30</v>
      </c>
      <c r="AB56" s="126">
        <v>60</v>
      </c>
      <c r="AC56" s="126" t="s">
        <v>319</v>
      </c>
      <c r="AD56" s="134"/>
      <c r="AE56" s="134"/>
    </row>
    <row r="57" spans="1:31" ht="14.25" x14ac:dyDescent="0.2">
      <c r="A57" s="22">
        <v>46</v>
      </c>
      <c r="B57" s="34" t="s">
        <v>59</v>
      </c>
      <c r="C57" s="126">
        <f>(90*0.96)</f>
        <v>86.399999999999991</v>
      </c>
      <c r="D57" s="126">
        <f>(270*0.96)</f>
        <v>259.2</v>
      </c>
      <c r="E57" s="126" t="s">
        <v>319</v>
      </c>
      <c r="F57" s="126">
        <f t="shared" ref="F57:F70" si="15">+(300*0.96)</f>
        <v>288</v>
      </c>
      <c r="G57" s="126">
        <f>(41*0.96)</f>
        <v>39.36</v>
      </c>
      <c r="H57" s="126">
        <f>(376*0.96)</f>
        <v>360.96</v>
      </c>
      <c r="I57" s="126" t="s">
        <v>319</v>
      </c>
      <c r="J57" s="134"/>
      <c r="K57" s="134"/>
      <c r="M57" s="126" t="s">
        <v>319</v>
      </c>
      <c r="N57" s="126" t="s">
        <v>319</v>
      </c>
      <c r="O57" s="126" t="s">
        <v>319</v>
      </c>
      <c r="P57" s="126" t="s">
        <v>319</v>
      </c>
      <c r="Q57" s="126">
        <v>75</v>
      </c>
      <c r="R57" s="126">
        <v>480</v>
      </c>
      <c r="S57" s="126" t="s">
        <v>319</v>
      </c>
      <c r="T57" s="134"/>
      <c r="U57" s="134"/>
      <c r="W57" s="126" t="s">
        <v>319</v>
      </c>
      <c r="X57" s="126" t="s">
        <v>319</v>
      </c>
      <c r="Y57" s="126" t="s">
        <v>319</v>
      </c>
      <c r="Z57" s="126" t="s">
        <v>319</v>
      </c>
      <c r="AA57" s="126">
        <v>150</v>
      </c>
      <c r="AB57" s="126">
        <v>240</v>
      </c>
      <c r="AC57" s="126" t="s">
        <v>319</v>
      </c>
      <c r="AD57" s="134"/>
      <c r="AE57" s="134"/>
    </row>
    <row r="58" spans="1:31" ht="14.25" x14ac:dyDescent="0.2">
      <c r="A58" s="22">
        <v>47</v>
      </c>
      <c r="B58" s="34" t="s">
        <v>60</v>
      </c>
      <c r="C58" s="126">
        <f>(158*0.96)</f>
        <v>151.68</v>
      </c>
      <c r="D58" s="126">
        <f>(473*0.96)</f>
        <v>454.08</v>
      </c>
      <c r="E58" s="126" t="s">
        <v>319</v>
      </c>
      <c r="F58" s="126">
        <f t="shared" si="15"/>
        <v>288</v>
      </c>
      <c r="G58" s="126">
        <f>(53*0.96)</f>
        <v>50.879999999999995</v>
      </c>
      <c r="H58" s="126">
        <f>(482*0.96)</f>
        <v>462.71999999999997</v>
      </c>
      <c r="I58" s="126" t="s">
        <v>319</v>
      </c>
      <c r="J58" s="134"/>
      <c r="K58" s="134"/>
      <c r="M58" s="126" t="s">
        <v>319</v>
      </c>
      <c r="N58" s="126" t="s">
        <v>319</v>
      </c>
      <c r="O58" s="126" t="s">
        <v>319</v>
      </c>
      <c r="P58" s="126" t="s">
        <v>319</v>
      </c>
      <c r="Q58" s="126">
        <v>75</v>
      </c>
      <c r="R58" s="126">
        <v>600</v>
      </c>
      <c r="S58" s="126" t="s">
        <v>319</v>
      </c>
      <c r="T58" s="134"/>
      <c r="U58" s="134"/>
      <c r="W58" s="126">
        <v>180</v>
      </c>
      <c r="X58" s="126">
        <v>60</v>
      </c>
      <c r="Y58" s="126" t="s">
        <v>319</v>
      </c>
      <c r="Z58" s="126">
        <v>500</v>
      </c>
      <c r="AA58" s="126">
        <v>75</v>
      </c>
      <c r="AB58" s="126">
        <v>840</v>
      </c>
      <c r="AC58" s="126" t="s">
        <v>319</v>
      </c>
      <c r="AD58" s="134"/>
      <c r="AE58" s="134"/>
    </row>
    <row r="59" spans="1:31" ht="14.25" x14ac:dyDescent="0.2">
      <c r="A59" s="22">
        <v>48</v>
      </c>
      <c r="B59" s="34" t="s">
        <v>61</v>
      </c>
      <c r="C59" s="126">
        <f>(12*0.96)</f>
        <v>11.52</v>
      </c>
      <c r="D59" s="126">
        <f>(338*0.96)</f>
        <v>324.47999999999996</v>
      </c>
      <c r="E59" s="126" t="s">
        <v>319</v>
      </c>
      <c r="F59" s="126">
        <f t="shared" si="15"/>
        <v>288</v>
      </c>
      <c r="G59" s="126">
        <f>(41*0.96)</f>
        <v>39.36</v>
      </c>
      <c r="H59" s="126">
        <f>(376*0.96)</f>
        <v>360.96</v>
      </c>
      <c r="I59" s="126" t="s">
        <v>319</v>
      </c>
      <c r="J59" s="134"/>
      <c r="K59" s="134"/>
      <c r="M59" s="126" t="s">
        <v>319</v>
      </c>
      <c r="N59" s="126" t="s">
        <v>319</v>
      </c>
      <c r="O59" s="126" t="s">
        <v>319</v>
      </c>
      <c r="P59" s="126" t="s">
        <v>319</v>
      </c>
      <c r="Q59" s="126">
        <v>75</v>
      </c>
      <c r="R59" s="126">
        <v>480</v>
      </c>
      <c r="S59" s="126" t="s">
        <v>319</v>
      </c>
      <c r="T59" s="134"/>
      <c r="U59" s="134"/>
      <c r="W59" s="126">
        <v>360</v>
      </c>
      <c r="X59" s="126">
        <v>120</v>
      </c>
      <c r="Y59" s="126" t="s">
        <v>319</v>
      </c>
      <c r="Z59" s="126">
        <v>500</v>
      </c>
      <c r="AA59" s="126">
        <v>75</v>
      </c>
      <c r="AB59" s="126">
        <v>240</v>
      </c>
      <c r="AC59" s="126" t="s">
        <v>319</v>
      </c>
      <c r="AD59" s="134"/>
      <c r="AE59" s="134"/>
    </row>
    <row r="60" spans="1:31" ht="14.25" x14ac:dyDescent="0.2">
      <c r="A60" s="22">
        <v>49</v>
      </c>
      <c r="B60" s="34" t="s">
        <v>62</v>
      </c>
      <c r="C60" s="126">
        <f>(200*0.96)</f>
        <v>192</v>
      </c>
      <c r="D60" s="126">
        <f>(600*0.96)</f>
        <v>576</v>
      </c>
      <c r="E60" s="126" t="s">
        <v>319</v>
      </c>
      <c r="F60" s="126">
        <f t="shared" si="15"/>
        <v>288</v>
      </c>
      <c r="G60" s="126">
        <f>(148*0.96)</f>
        <v>142.07999999999998</v>
      </c>
      <c r="H60" s="126">
        <f>(1335*0.96)</f>
        <v>1281.5999999999999</v>
      </c>
      <c r="I60" s="126" t="s">
        <v>319</v>
      </c>
      <c r="J60" s="134"/>
      <c r="K60" s="134"/>
      <c r="M60" s="126" t="s">
        <v>319</v>
      </c>
      <c r="N60" s="126" t="s">
        <v>319</v>
      </c>
      <c r="O60" s="126" t="s">
        <v>319</v>
      </c>
      <c r="P60" s="126" t="s">
        <v>319</v>
      </c>
      <c r="Q60" s="126">
        <v>75</v>
      </c>
      <c r="R60" s="126">
        <v>1750</v>
      </c>
      <c r="S60" s="126" t="s">
        <v>319</v>
      </c>
      <c r="T60" s="134"/>
      <c r="U60" s="134"/>
      <c r="W60" s="126">
        <v>630</v>
      </c>
      <c r="X60" s="126">
        <v>210</v>
      </c>
      <c r="Y60" s="126" t="s">
        <v>319</v>
      </c>
      <c r="Z60" s="126">
        <v>500</v>
      </c>
      <c r="AA60" s="126">
        <v>75</v>
      </c>
      <c r="AB60" s="126">
        <v>1080</v>
      </c>
      <c r="AC60" s="126">
        <v>60</v>
      </c>
      <c r="AD60" s="134"/>
      <c r="AE60" s="134"/>
    </row>
    <row r="61" spans="1:31" ht="14.25" x14ac:dyDescent="0.2">
      <c r="A61" s="22">
        <v>50</v>
      </c>
      <c r="B61" s="34" t="s">
        <v>63</v>
      </c>
      <c r="C61" s="126">
        <f>(134*0.96)</f>
        <v>128.63999999999999</v>
      </c>
      <c r="D61" s="126">
        <f>(400*0.96)</f>
        <v>384</v>
      </c>
      <c r="E61" s="126" t="s">
        <v>319</v>
      </c>
      <c r="F61" s="126">
        <f t="shared" si="15"/>
        <v>288</v>
      </c>
      <c r="G61" s="126">
        <f>(125*0.96)</f>
        <v>120</v>
      </c>
      <c r="H61" s="126">
        <f>(1126*0.96)</f>
        <v>1080.96</v>
      </c>
      <c r="I61" s="126" t="s">
        <v>319</v>
      </c>
      <c r="J61" s="134"/>
      <c r="K61" s="134"/>
      <c r="M61" s="126" t="s">
        <v>319</v>
      </c>
      <c r="N61" s="126" t="s">
        <v>319</v>
      </c>
      <c r="O61" s="126" t="s">
        <v>319</v>
      </c>
      <c r="P61" s="126" t="s">
        <v>319</v>
      </c>
      <c r="Q61" s="126">
        <v>75</v>
      </c>
      <c r="R61" s="126">
        <v>1600</v>
      </c>
      <c r="S61" s="126" t="s">
        <v>319</v>
      </c>
      <c r="T61" s="134"/>
      <c r="U61" s="134"/>
      <c r="W61" s="126">
        <v>630</v>
      </c>
      <c r="X61" s="126">
        <v>210</v>
      </c>
      <c r="Y61" s="126" t="s">
        <v>319</v>
      </c>
      <c r="Z61" s="126">
        <v>500</v>
      </c>
      <c r="AA61" s="126">
        <v>75</v>
      </c>
      <c r="AB61" s="126">
        <v>1080</v>
      </c>
      <c r="AC61" s="126" t="s">
        <v>319</v>
      </c>
      <c r="AD61" s="134"/>
      <c r="AE61" s="134"/>
    </row>
    <row r="62" spans="1:31" ht="14.25" x14ac:dyDescent="0.2">
      <c r="A62" s="22">
        <v>51</v>
      </c>
      <c r="B62" s="34" t="s">
        <v>64</v>
      </c>
      <c r="C62" s="126">
        <f>(450*0.96)</f>
        <v>432</v>
      </c>
      <c r="D62" s="126">
        <f>(1350*0.96)</f>
        <v>1296</v>
      </c>
      <c r="E62" s="126" t="s">
        <v>319</v>
      </c>
      <c r="F62" s="126">
        <f t="shared" si="15"/>
        <v>288</v>
      </c>
      <c r="G62" s="126">
        <f>(315*0.96)</f>
        <v>302.39999999999998</v>
      </c>
      <c r="H62" s="126">
        <f>(2837*0.96)</f>
        <v>2723.52</v>
      </c>
      <c r="I62" s="126" t="s">
        <v>319</v>
      </c>
      <c r="J62" s="134"/>
      <c r="K62" s="134"/>
      <c r="M62" s="126">
        <v>1200</v>
      </c>
      <c r="N62" s="126">
        <v>408</v>
      </c>
      <c r="O62" s="126">
        <v>100</v>
      </c>
      <c r="P62" s="126">
        <v>325</v>
      </c>
      <c r="Q62" s="126">
        <v>345</v>
      </c>
      <c r="R62" s="126">
        <v>2605</v>
      </c>
      <c r="S62" s="126" t="s">
        <v>319</v>
      </c>
      <c r="T62" s="134"/>
      <c r="U62" s="134"/>
      <c r="W62" s="126">
        <v>1980</v>
      </c>
      <c r="X62" s="126">
        <v>660</v>
      </c>
      <c r="Y62" s="126">
        <v>360</v>
      </c>
      <c r="Z62" s="126">
        <v>600</v>
      </c>
      <c r="AA62" s="126">
        <v>75</v>
      </c>
      <c r="AB62" s="126">
        <v>4800</v>
      </c>
      <c r="AC62" s="126" t="s">
        <v>319</v>
      </c>
      <c r="AD62" s="134"/>
      <c r="AE62" s="134"/>
    </row>
    <row r="63" spans="1:31" ht="14.25" x14ac:dyDescent="0.2">
      <c r="A63" s="22">
        <v>52</v>
      </c>
      <c r="B63" s="34" t="s">
        <v>65</v>
      </c>
      <c r="C63" s="126">
        <f>(6000*0.96)</f>
        <v>5760</v>
      </c>
      <c r="D63" s="126">
        <f>(18000*0.96)</f>
        <v>17280</v>
      </c>
      <c r="E63" s="126" t="s">
        <v>319</v>
      </c>
      <c r="F63" s="126">
        <f t="shared" si="15"/>
        <v>288</v>
      </c>
      <c r="G63" s="126">
        <f>(1454*0.96)</f>
        <v>1395.84</v>
      </c>
      <c r="H63" s="126">
        <f>(13095*0.96)</f>
        <v>12571.199999999999</v>
      </c>
      <c r="I63" s="126" t="s">
        <v>319</v>
      </c>
      <c r="J63" s="134"/>
      <c r="K63" s="134"/>
      <c r="M63" s="126">
        <v>1300</v>
      </c>
      <c r="N63" s="126">
        <v>1450</v>
      </c>
      <c r="O63" s="126">
        <v>100</v>
      </c>
      <c r="P63" s="126">
        <v>325</v>
      </c>
      <c r="Q63" s="126">
        <v>2740</v>
      </c>
      <c r="R63" s="126">
        <v>16295</v>
      </c>
      <c r="S63" s="126" t="s">
        <v>319</v>
      </c>
      <c r="T63" s="134"/>
      <c r="U63" s="134"/>
      <c r="W63" s="126">
        <v>5760</v>
      </c>
      <c r="X63" s="126">
        <v>1920</v>
      </c>
      <c r="Y63" s="126" t="s">
        <v>319</v>
      </c>
      <c r="Z63" s="126">
        <v>1800</v>
      </c>
      <c r="AA63" s="126">
        <v>75</v>
      </c>
      <c r="AB63" s="126">
        <v>12000</v>
      </c>
      <c r="AC63" s="126" t="s">
        <v>319</v>
      </c>
      <c r="AD63" s="134"/>
      <c r="AE63" s="134"/>
    </row>
    <row r="64" spans="1:31" ht="14.25" x14ac:dyDescent="0.2">
      <c r="A64" s="22">
        <v>53</v>
      </c>
      <c r="B64" s="34" t="s">
        <v>66</v>
      </c>
      <c r="C64" s="126">
        <f>(112*0.96)</f>
        <v>107.52</v>
      </c>
      <c r="D64" s="126">
        <f>(338*0.96)</f>
        <v>324.47999999999996</v>
      </c>
      <c r="E64" s="126" t="s">
        <v>319</v>
      </c>
      <c r="F64" s="126">
        <f t="shared" si="15"/>
        <v>288</v>
      </c>
      <c r="G64" s="126">
        <f>(100*0.96)</f>
        <v>96</v>
      </c>
      <c r="H64" s="126">
        <f>(910*0.96)</f>
        <v>873.6</v>
      </c>
      <c r="I64" s="126" t="s">
        <v>319</v>
      </c>
      <c r="J64" s="134"/>
      <c r="K64" s="134"/>
      <c r="M64" s="126">
        <v>150</v>
      </c>
      <c r="N64" s="126">
        <v>0</v>
      </c>
      <c r="O64" s="126" t="s">
        <v>319</v>
      </c>
      <c r="P64" s="126">
        <v>325</v>
      </c>
      <c r="Q64" s="126">
        <v>140</v>
      </c>
      <c r="R64" s="126">
        <v>995</v>
      </c>
      <c r="S64" s="126" t="s">
        <v>319</v>
      </c>
      <c r="T64" s="134"/>
      <c r="U64" s="134"/>
      <c r="W64" s="126">
        <v>360</v>
      </c>
      <c r="X64" s="126">
        <v>120</v>
      </c>
      <c r="Y64" s="126" t="s">
        <v>319</v>
      </c>
      <c r="Z64" s="126">
        <v>600</v>
      </c>
      <c r="AA64" s="126">
        <v>75</v>
      </c>
      <c r="AB64" s="126">
        <v>1920</v>
      </c>
      <c r="AC64" s="126" t="s">
        <v>319</v>
      </c>
      <c r="AD64" s="134"/>
      <c r="AE64" s="134"/>
    </row>
    <row r="65" spans="1:31" ht="14.25" x14ac:dyDescent="0.2">
      <c r="A65" s="22">
        <v>54</v>
      </c>
      <c r="B65" s="34" t="s">
        <v>67</v>
      </c>
      <c r="C65" s="126">
        <f>(675*0.96)</f>
        <v>648</v>
      </c>
      <c r="D65" s="126">
        <f>(2025*0.96)</f>
        <v>1944</v>
      </c>
      <c r="E65" s="126" t="s">
        <v>319</v>
      </c>
      <c r="F65" s="126">
        <f t="shared" si="15"/>
        <v>288</v>
      </c>
      <c r="G65" s="126">
        <f>(100*0.96)</f>
        <v>96</v>
      </c>
      <c r="H65" s="126">
        <f>(910*0.96)</f>
        <v>873.6</v>
      </c>
      <c r="I65" s="126" t="s">
        <v>319</v>
      </c>
      <c r="J65" s="134"/>
      <c r="K65" s="134"/>
      <c r="M65" s="126">
        <v>500</v>
      </c>
      <c r="N65" s="126">
        <v>1000</v>
      </c>
      <c r="O65" s="126">
        <v>100</v>
      </c>
      <c r="P65" s="126">
        <v>325</v>
      </c>
      <c r="Q65" s="126">
        <v>105</v>
      </c>
      <c r="R65" s="126">
        <v>1650</v>
      </c>
      <c r="S65" s="126" t="s">
        <v>319</v>
      </c>
      <c r="T65" s="134"/>
      <c r="U65" s="134"/>
      <c r="W65" s="126">
        <v>720</v>
      </c>
      <c r="X65" s="126">
        <v>240</v>
      </c>
      <c r="Y65" s="126" t="s">
        <v>319</v>
      </c>
      <c r="Z65" s="126">
        <v>1200</v>
      </c>
      <c r="AA65" s="126">
        <v>75</v>
      </c>
      <c r="AB65" s="126">
        <v>1920</v>
      </c>
      <c r="AC65" s="126" t="s">
        <v>319</v>
      </c>
      <c r="AD65" s="134"/>
      <c r="AE65" s="134"/>
    </row>
    <row r="66" spans="1:31" ht="14.25" x14ac:dyDescent="0.2">
      <c r="A66" s="22">
        <v>55</v>
      </c>
      <c r="B66" s="34" t="s">
        <v>68</v>
      </c>
      <c r="C66" s="126">
        <f>(540*0.96)</f>
        <v>518.4</v>
      </c>
      <c r="D66" s="126">
        <f>(1620*0.96)</f>
        <v>1555.2</v>
      </c>
      <c r="E66" s="126" t="s">
        <v>319</v>
      </c>
      <c r="F66" s="126">
        <f t="shared" si="15"/>
        <v>288</v>
      </c>
      <c r="G66" s="126">
        <f>(89*0.96)</f>
        <v>85.44</v>
      </c>
      <c r="H66" s="126">
        <f>(803*0.96)</f>
        <v>770.88</v>
      </c>
      <c r="I66" s="126" t="s">
        <v>319</v>
      </c>
      <c r="J66" s="134"/>
      <c r="K66" s="134"/>
      <c r="M66" s="126">
        <v>250</v>
      </c>
      <c r="N66" s="126">
        <v>450</v>
      </c>
      <c r="O66" s="126">
        <v>100</v>
      </c>
      <c r="P66" s="126">
        <v>325</v>
      </c>
      <c r="Q66" s="126">
        <v>265</v>
      </c>
      <c r="R66" s="126">
        <v>1095</v>
      </c>
      <c r="S66" s="126" t="s">
        <v>319</v>
      </c>
      <c r="T66" s="134"/>
      <c r="U66" s="134"/>
      <c r="W66" s="126">
        <v>1080</v>
      </c>
      <c r="X66" s="126">
        <v>360</v>
      </c>
      <c r="Y66" s="126">
        <v>120</v>
      </c>
      <c r="Z66" s="126">
        <v>600</v>
      </c>
      <c r="AA66" s="126">
        <v>75</v>
      </c>
      <c r="AB66" s="126">
        <v>1440</v>
      </c>
      <c r="AC66" s="126" t="s">
        <v>319</v>
      </c>
      <c r="AD66" s="134"/>
      <c r="AE66" s="134"/>
    </row>
    <row r="67" spans="1:31" ht="14.25" x14ac:dyDescent="0.2">
      <c r="A67" s="22">
        <v>56</v>
      </c>
      <c r="B67" s="34" t="s">
        <v>69</v>
      </c>
      <c r="C67" s="126">
        <f>(543*0.96)</f>
        <v>521.28</v>
      </c>
      <c r="D67" s="126">
        <f>(1631*0.96)</f>
        <v>1565.76</v>
      </c>
      <c r="E67" s="126" t="s">
        <v>319</v>
      </c>
      <c r="F67" s="126">
        <f t="shared" si="15"/>
        <v>288</v>
      </c>
      <c r="G67" s="126">
        <f>(655*0.96)</f>
        <v>628.79999999999995</v>
      </c>
      <c r="H67" s="126">
        <f>(5894*0.96)</f>
        <v>5658.24</v>
      </c>
      <c r="I67" s="126" t="s">
        <v>319</v>
      </c>
      <c r="J67" s="134"/>
      <c r="K67" s="134"/>
      <c r="M67" s="126">
        <v>1000</v>
      </c>
      <c r="N67" s="126">
        <v>612</v>
      </c>
      <c r="O67" s="126">
        <v>100</v>
      </c>
      <c r="P67" s="126">
        <v>325</v>
      </c>
      <c r="Q67" s="126">
        <v>380</v>
      </c>
      <c r="R67" s="126">
        <v>7720</v>
      </c>
      <c r="S67" s="126" t="s">
        <v>319</v>
      </c>
      <c r="T67" s="134"/>
      <c r="U67" s="134"/>
      <c r="W67" s="126">
        <v>5220</v>
      </c>
      <c r="X67" s="126">
        <v>1740</v>
      </c>
      <c r="Y67" s="126" t="s">
        <v>319</v>
      </c>
      <c r="Z67" s="126">
        <v>600</v>
      </c>
      <c r="AA67" s="126">
        <v>75</v>
      </c>
      <c r="AB67" s="126">
        <v>19200</v>
      </c>
      <c r="AC67" s="126" t="s">
        <v>319</v>
      </c>
      <c r="AD67" s="134"/>
      <c r="AE67" s="134"/>
    </row>
    <row r="68" spans="1:31" ht="14.25" x14ac:dyDescent="0.2">
      <c r="A68" s="22">
        <v>57</v>
      </c>
      <c r="B68" s="34" t="s">
        <v>70</v>
      </c>
      <c r="C68" s="126">
        <f>(543*0.96)</f>
        <v>521.28</v>
      </c>
      <c r="D68" s="126">
        <f>(1631*0.96)</f>
        <v>1565.76</v>
      </c>
      <c r="E68" s="126" t="s">
        <v>319</v>
      </c>
      <c r="F68" s="126">
        <f t="shared" si="15"/>
        <v>288</v>
      </c>
      <c r="G68" s="126">
        <f>(65*0.96)</f>
        <v>62.4</v>
      </c>
      <c r="H68" s="126">
        <f>(590*0.96)</f>
        <v>566.4</v>
      </c>
      <c r="I68" s="126" t="s">
        <v>319</v>
      </c>
      <c r="J68" s="134"/>
      <c r="K68" s="134"/>
      <c r="M68" s="126">
        <v>200</v>
      </c>
      <c r="N68" s="126">
        <v>800</v>
      </c>
      <c r="O68" s="126">
        <v>100</v>
      </c>
      <c r="P68" s="126">
        <v>325</v>
      </c>
      <c r="Q68" s="126">
        <v>185</v>
      </c>
      <c r="R68" s="126">
        <v>980</v>
      </c>
      <c r="S68" s="126" t="s">
        <v>319</v>
      </c>
      <c r="T68" s="134"/>
      <c r="U68" s="134"/>
      <c r="W68" s="126">
        <v>720</v>
      </c>
      <c r="X68" s="126">
        <v>240</v>
      </c>
      <c r="Y68" s="126" t="s">
        <v>319</v>
      </c>
      <c r="Z68" s="126">
        <v>600</v>
      </c>
      <c r="AA68" s="126">
        <v>75</v>
      </c>
      <c r="AB68" s="126">
        <v>9600</v>
      </c>
      <c r="AC68" s="126" t="s">
        <v>319</v>
      </c>
      <c r="AD68" s="134"/>
      <c r="AE68" s="134"/>
    </row>
    <row r="69" spans="1:31" ht="14.25" x14ac:dyDescent="0.2">
      <c r="A69" s="22">
        <v>58</v>
      </c>
      <c r="B69" s="34" t="s">
        <v>71</v>
      </c>
      <c r="C69" s="126" t="s">
        <v>319</v>
      </c>
      <c r="D69" s="126" t="s">
        <v>319</v>
      </c>
      <c r="E69" s="126" t="s">
        <v>319</v>
      </c>
      <c r="F69" s="126" t="s">
        <v>319</v>
      </c>
      <c r="G69" s="126">
        <f>(41*0.96)</f>
        <v>39.36</v>
      </c>
      <c r="H69" s="126">
        <f>(376*0.96)</f>
        <v>360.96</v>
      </c>
      <c r="I69" s="126" t="s">
        <v>319</v>
      </c>
      <c r="J69" s="134"/>
      <c r="K69" s="134"/>
      <c r="M69" s="126" t="s">
        <v>319</v>
      </c>
      <c r="N69" s="126" t="s">
        <v>319</v>
      </c>
      <c r="O69" s="126" t="s">
        <v>319</v>
      </c>
      <c r="P69" s="126" t="s">
        <v>319</v>
      </c>
      <c r="Q69" s="126">
        <v>75</v>
      </c>
      <c r="R69" s="126">
        <v>465</v>
      </c>
      <c r="S69" s="126" t="s">
        <v>319</v>
      </c>
      <c r="T69" s="134"/>
      <c r="U69" s="134"/>
      <c r="W69" s="126" t="s">
        <v>319</v>
      </c>
      <c r="X69" s="126" t="s">
        <v>319</v>
      </c>
      <c r="Y69" s="126" t="s">
        <v>319</v>
      </c>
      <c r="Z69" s="126" t="s">
        <v>319</v>
      </c>
      <c r="AA69" s="126">
        <v>150</v>
      </c>
      <c r="AB69" s="126">
        <v>240</v>
      </c>
      <c r="AC69" s="126" t="s">
        <v>319</v>
      </c>
      <c r="AD69" s="134"/>
      <c r="AE69" s="134"/>
    </row>
    <row r="70" spans="1:31" ht="14.25" x14ac:dyDescent="0.2">
      <c r="A70" s="22">
        <v>59</v>
      </c>
      <c r="B70" s="34" t="s">
        <v>72</v>
      </c>
      <c r="C70" s="126">
        <f>(131*0.96)</f>
        <v>125.75999999999999</v>
      </c>
      <c r="D70" s="126">
        <f>(394*0.96)</f>
        <v>378.24</v>
      </c>
      <c r="E70" s="126" t="s">
        <v>319</v>
      </c>
      <c r="F70" s="126">
        <f t="shared" si="15"/>
        <v>288</v>
      </c>
      <c r="G70" s="126">
        <f>(52*0.96)</f>
        <v>49.92</v>
      </c>
      <c r="H70" s="126">
        <f>(473*0.96)</f>
        <v>454.08</v>
      </c>
      <c r="I70" s="126" t="s">
        <v>319</v>
      </c>
      <c r="J70" s="134"/>
      <c r="K70" s="134"/>
      <c r="M70" s="126" t="s">
        <v>319</v>
      </c>
      <c r="N70" s="126" t="s">
        <v>319</v>
      </c>
      <c r="O70" s="126" t="s">
        <v>319</v>
      </c>
      <c r="P70" s="126" t="s">
        <v>319</v>
      </c>
      <c r="Q70" s="126">
        <v>150</v>
      </c>
      <c r="R70" s="126">
        <v>590</v>
      </c>
      <c r="S70" s="126" t="s">
        <v>319</v>
      </c>
      <c r="T70" s="134"/>
      <c r="U70" s="134"/>
      <c r="W70" s="126">
        <v>180</v>
      </c>
      <c r="X70" s="126">
        <v>60</v>
      </c>
      <c r="Y70" s="126" t="s">
        <v>319</v>
      </c>
      <c r="Z70" s="126">
        <v>500</v>
      </c>
      <c r="AA70" s="126">
        <v>75</v>
      </c>
      <c r="AB70" s="126">
        <v>480</v>
      </c>
      <c r="AC70" s="126" t="s">
        <v>319</v>
      </c>
      <c r="AD70" s="134"/>
      <c r="AE70" s="134"/>
    </row>
    <row r="71" spans="1:31" ht="14.25" x14ac:dyDescent="0.2">
      <c r="A71" s="22">
        <v>60</v>
      </c>
      <c r="B71" s="34" t="s">
        <v>73</v>
      </c>
      <c r="C71" s="126" t="s">
        <v>319</v>
      </c>
      <c r="D71" s="126" t="s">
        <v>319</v>
      </c>
      <c r="E71" s="126" t="s">
        <v>319</v>
      </c>
      <c r="F71" s="126" t="s">
        <v>319</v>
      </c>
      <c r="G71" s="126" t="s">
        <v>319</v>
      </c>
      <c r="H71" s="126" t="s">
        <v>319</v>
      </c>
      <c r="I71" s="126" t="s">
        <v>319</v>
      </c>
      <c r="J71" s="134"/>
      <c r="K71" s="134"/>
      <c r="M71" s="126" t="s">
        <v>319</v>
      </c>
      <c r="N71" s="126" t="s">
        <v>319</v>
      </c>
      <c r="O71" s="126" t="s">
        <v>319</v>
      </c>
      <c r="P71" s="126" t="s">
        <v>319</v>
      </c>
      <c r="Q71" s="126">
        <v>110</v>
      </c>
      <c r="R71" s="126">
        <v>530</v>
      </c>
      <c r="S71" s="126" t="s">
        <v>319</v>
      </c>
      <c r="T71" s="134"/>
      <c r="U71" s="134"/>
      <c r="W71" s="126">
        <v>720</v>
      </c>
      <c r="X71" s="126">
        <v>240</v>
      </c>
      <c r="Y71" s="126" t="s">
        <v>319</v>
      </c>
      <c r="Z71" s="126">
        <v>500</v>
      </c>
      <c r="AA71" s="126">
        <v>75</v>
      </c>
      <c r="AB71" s="126">
        <v>240</v>
      </c>
      <c r="AC71" s="126" t="s">
        <v>319</v>
      </c>
      <c r="AD71" s="134"/>
      <c r="AE71" s="134"/>
    </row>
    <row r="72" spans="1:31" ht="28.5" x14ac:dyDescent="0.2">
      <c r="A72" s="22">
        <v>61</v>
      </c>
      <c r="B72" s="34" t="s">
        <v>74</v>
      </c>
      <c r="C72" s="126" t="s">
        <v>319</v>
      </c>
      <c r="D72" s="126" t="s">
        <v>319</v>
      </c>
      <c r="E72" s="126" t="s">
        <v>319</v>
      </c>
      <c r="F72" s="126" t="s">
        <v>319</v>
      </c>
      <c r="G72" s="126">
        <f>(36*0.96)</f>
        <v>34.56</v>
      </c>
      <c r="H72" s="126">
        <f>(324*0.96)</f>
        <v>311.03999999999996</v>
      </c>
      <c r="I72" s="126" t="s">
        <v>319</v>
      </c>
      <c r="J72" s="134"/>
      <c r="K72" s="134"/>
      <c r="M72" s="126" t="s">
        <v>319</v>
      </c>
      <c r="N72" s="126" t="s">
        <v>319</v>
      </c>
      <c r="O72" s="126" t="s">
        <v>319</v>
      </c>
      <c r="P72" s="126" t="s">
        <v>319</v>
      </c>
      <c r="Q72" s="126">
        <v>75</v>
      </c>
      <c r="R72" s="126">
        <v>185</v>
      </c>
      <c r="S72" s="126" t="s">
        <v>319</v>
      </c>
      <c r="T72" s="134"/>
      <c r="U72" s="134"/>
      <c r="W72" s="126" t="s">
        <v>319</v>
      </c>
      <c r="X72" s="126" t="s">
        <v>319</v>
      </c>
      <c r="Y72" s="126" t="s">
        <v>319</v>
      </c>
      <c r="Z72" s="126" t="s">
        <v>319</v>
      </c>
      <c r="AA72" s="126">
        <v>100</v>
      </c>
      <c r="AB72" s="126">
        <v>120</v>
      </c>
      <c r="AC72" s="126" t="s">
        <v>319</v>
      </c>
      <c r="AD72" s="134"/>
      <c r="AE72" s="134"/>
    </row>
    <row r="73" spans="1:31" ht="18" customHeight="1" x14ac:dyDescent="0.2">
      <c r="A73" s="22">
        <v>62</v>
      </c>
      <c r="B73" s="34" t="s">
        <v>290</v>
      </c>
      <c r="C73" s="126" t="s">
        <v>319</v>
      </c>
      <c r="D73" s="126" t="s">
        <v>319</v>
      </c>
      <c r="E73" s="126" t="s">
        <v>319</v>
      </c>
      <c r="F73" s="126" t="s">
        <v>319</v>
      </c>
      <c r="G73" s="126">
        <f>(30*0.96)</f>
        <v>28.799999999999997</v>
      </c>
      <c r="H73" s="126">
        <f>(268*0.96)</f>
        <v>257.27999999999997</v>
      </c>
      <c r="I73" s="126" t="s">
        <v>319</v>
      </c>
      <c r="J73" s="126">
        <v>23</v>
      </c>
      <c r="K73" s="126">
        <v>150</v>
      </c>
      <c r="M73" s="126" t="s">
        <v>319</v>
      </c>
      <c r="N73" s="126" t="s">
        <v>319</v>
      </c>
      <c r="O73" s="126" t="s">
        <v>319</v>
      </c>
      <c r="P73" s="126" t="s">
        <v>319</v>
      </c>
      <c r="Q73" s="126">
        <v>75</v>
      </c>
      <c r="R73" s="126">
        <v>450</v>
      </c>
      <c r="S73" s="126" t="s">
        <v>319</v>
      </c>
      <c r="T73" s="126">
        <v>18</v>
      </c>
      <c r="U73" s="126">
        <v>70</v>
      </c>
      <c r="W73" s="126" t="s">
        <v>319</v>
      </c>
      <c r="X73" s="126" t="s">
        <v>319</v>
      </c>
      <c r="Y73" s="126" t="s">
        <v>319</v>
      </c>
      <c r="Z73" s="126" t="s">
        <v>319</v>
      </c>
      <c r="AA73" s="126">
        <v>30</v>
      </c>
      <c r="AB73" s="126">
        <v>60</v>
      </c>
      <c r="AC73" s="126" t="s">
        <v>319</v>
      </c>
      <c r="AD73" s="126">
        <v>31.25</v>
      </c>
      <c r="AE73" s="126">
        <v>600</v>
      </c>
    </row>
    <row r="74" spans="1:31" ht="14.25" x14ac:dyDescent="0.2">
      <c r="A74" s="22">
        <v>63</v>
      </c>
      <c r="B74" s="34" t="s">
        <v>271</v>
      </c>
      <c r="C74" s="126" t="s">
        <v>319</v>
      </c>
      <c r="D74" s="126" t="s">
        <v>319</v>
      </c>
      <c r="E74" s="126" t="s">
        <v>319</v>
      </c>
      <c r="F74" s="126" t="s">
        <v>319</v>
      </c>
      <c r="G74" s="126">
        <f>(18*0.96)</f>
        <v>17.28</v>
      </c>
      <c r="H74" s="126">
        <f>(162*0.96)</f>
        <v>155.51999999999998</v>
      </c>
      <c r="I74" s="126" t="s">
        <v>319</v>
      </c>
      <c r="J74" s="134"/>
      <c r="K74" s="134"/>
      <c r="M74" s="126" t="s">
        <v>319</v>
      </c>
      <c r="N74" s="126" t="s">
        <v>319</v>
      </c>
      <c r="O74" s="126" t="s">
        <v>319</v>
      </c>
      <c r="P74" s="126" t="s">
        <v>319</v>
      </c>
      <c r="Q74" s="126">
        <v>75</v>
      </c>
      <c r="R74" s="126">
        <v>600</v>
      </c>
      <c r="S74" s="126" t="s">
        <v>319</v>
      </c>
      <c r="T74" s="134"/>
      <c r="U74" s="134"/>
      <c r="W74" s="126" t="s">
        <v>319</v>
      </c>
      <c r="X74" s="126" t="s">
        <v>319</v>
      </c>
      <c r="Y74" s="126" t="s">
        <v>319</v>
      </c>
      <c r="Z74" s="126" t="s">
        <v>319</v>
      </c>
      <c r="AA74" s="126">
        <v>30</v>
      </c>
      <c r="AB74" s="126">
        <v>60</v>
      </c>
      <c r="AC74" s="126" t="s">
        <v>319</v>
      </c>
      <c r="AD74" s="134"/>
      <c r="AE74" s="134"/>
    </row>
    <row r="75" spans="1:31" ht="14.25" x14ac:dyDescent="0.2">
      <c r="A75" s="22">
        <v>64</v>
      </c>
      <c r="B75" s="34" t="s">
        <v>75</v>
      </c>
      <c r="C75" s="126">
        <f>(194*0.96)</f>
        <v>186.23999999999998</v>
      </c>
      <c r="D75" s="126">
        <f>(583*0.96)</f>
        <v>559.67999999999995</v>
      </c>
      <c r="E75" s="126" t="s">
        <v>319</v>
      </c>
      <c r="F75" s="126">
        <f t="shared" ref="F75:F89" si="16">+(300*0.96)</f>
        <v>288</v>
      </c>
      <c r="G75" s="126">
        <f>(196*0.96)</f>
        <v>188.16</v>
      </c>
      <c r="H75" s="126">
        <f>(1768*0.96)</f>
        <v>1697.28</v>
      </c>
      <c r="I75" s="126" t="s">
        <v>319</v>
      </c>
      <c r="J75" s="134"/>
      <c r="K75" s="134"/>
      <c r="M75" s="126">
        <v>200</v>
      </c>
      <c r="N75" s="126">
        <v>376</v>
      </c>
      <c r="O75" s="126" t="s">
        <v>319</v>
      </c>
      <c r="P75" s="126">
        <v>325</v>
      </c>
      <c r="Q75" s="126">
        <v>175</v>
      </c>
      <c r="R75" s="126">
        <v>1895</v>
      </c>
      <c r="S75" s="126" t="s">
        <v>319</v>
      </c>
      <c r="T75" s="134"/>
      <c r="U75" s="134"/>
      <c r="W75" s="126">
        <v>360</v>
      </c>
      <c r="X75" s="126">
        <v>120</v>
      </c>
      <c r="Y75" s="126" t="s">
        <v>319</v>
      </c>
      <c r="Z75" s="126">
        <v>500</v>
      </c>
      <c r="AA75" s="126">
        <v>100</v>
      </c>
      <c r="AB75" s="126">
        <v>960</v>
      </c>
      <c r="AC75" s="126" t="s">
        <v>319</v>
      </c>
      <c r="AD75" s="134"/>
      <c r="AE75" s="134"/>
    </row>
    <row r="76" spans="1:31" ht="14.25" x14ac:dyDescent="0.2">
      <c r="A76" s="22">
        <v>65</v>
      </c>
      <c r="B76" s="34" t="s">
        <v>76</v>
      </c>
      <c r="C76" s="126">
        <f>(65*0.96)</f>
        <v>62.4</v>
      </c>
      <c r="D76" s="126">
        <f>(195*0.96)</f>
        <v>187.2</v>
      </c>
      <c r="E76" s="126" t="s">
        <v>319</v>
      </c>
      <c r="F76" s="126">
        <f t="shared" si="16"/>
        <v>288</v>
      </c>
      <c r="G76" s="126">
        <f>(77*0.96)</f>
        <v>73.92</v>
      </c>
      <c r="H76" s="126">
        <f>(697*0.96)</f>
        <v>669.12</v>
      </c>
      <c r="I76" s="126" t="s">
        <v>319</v>
      </c>
      <c r="J76" s="134"/>
      <c r="K76" s="134"/>
      <c r="M76" s="126">
        <v>200</v>
      </c>
      <c r="N76" s="126">
        <v>188</v>
      </c>
      <c r="O76" s="126" t="s">
        <v>319</v>
      </c>
      <c r="P76" s="126">
        <v>325</v>
      </c>
      <c r="Q76" s="126">
        <v>80</v>
      </c>
      <c r="R76" s="126">
        <v>725</v>
      </c>
      <c r="S76" s="126" t="s">
        <v>319</v>
      </c>
      <c r="T76" s="134"/>
      <c r="U76" s="134"/>
      <c r="W76" s="126">
        <v>360</v>
      </c>
      <c r="X76" s="126">
        <v>120</v>
      </c>
      <c r="Y76" s="126" t="s">
        <v>319</v>
      </c>
      <c r="Z76" s="126">
        <v>500</v>
      </c>
      <c r="AA76" s="126">
        <v>100</v>
      </c>
      <c r="AB76" s="126">
        <v>480</v>
      </c>
      <c r="AC76" s="126" t="s">
        <v>319</v>
      </c>
      <c r="AD76" s="134"/>
      <c r="AE76" s="134"/>
    </row>
    <row r="77" spans="1:31" ht="14.25" x14ac:dyDescent="0.2">
      <c r="A77" s="22">
        <v>66</v>
      </c>
      <c r="B77" s="34" t="s">
        <v>77</v>
      </c>
      <c r="C77" s="126">
        <f>(65*0.96)</f>
        <v>62.4</v>
      </c>
      <c r="D77" s="126">
        <f>(195*0.96)</f>
        <v>187.2</v>
      </c>
      <c r="E77" s="126" t="s">
        <v>319</v>
      </c>
      <c r="F77" s="126">
        <f t="shared" si="16"/>
        <v>288</v>
      </c>
      <c r="G77" s="126">
        <f>(30*0.96)</f>
        <v>28.799999999999997</v>
      </c>
      <c r="H77" s="126">
        <f>(270*0.96)</f>
        <v>259.2</v>
      </c>
      <c r="I77" s="126" t="s">
        <v>319</v>
      </c>
      <c r="J77" s="134"/>
      <c r="K77" s="134"/>
      <c r="M77" s="126">
        <v>200</v>
      </c>
      <c r="N77" s="126">
        <v>188</v>
      </c>
      <c r="O77" s="126" t="s">
        <v>319</v>
      </c>
      <c r="P77" s="126">
        <v>325</v>
      </c>
      <c r="Q77" s="126">
        <v>100</v>
      </c>
      <c r="R77" s="126">
        <v>135</v>
      </c>
      <c r="S77" s="126" t="s">
        <v>319</v>
      </c>
      <c r="T77" s="134"/>
      <c r="U77" s="134"/>
      <c r="W77" s="126">
        <v>360</v>
      </c>
      <c r="X77" s="126">
        <v>120</v>
      </c>
      <c r="Y77" s="126" t="s">
        <v>319</v>
      </c>
      <c r="Z77" s="126">
        <v>500</v>
      </c>
      <c r="AA77" s="126">
        <v>30</v>
      </c>
      <c r="AB77" s="126">
        <v>60</v>
      </c>
      <c r="AC77" s="126" t="s">
        <v>319</v>
      </c>
      <c r="AD77" s="134"/>
      <c r="AE77" s="134"/>
    </row>
    <row r="78" spans="1:31" ht="14.25" x14ac:dyDescent="0.2">
      <c r="A78" s="22">
        <v>67</v>
      </c>
      <c r="B78" s="34" t="s">
        <v>78</v>
      </c>
      <c r="C78" s="126" t="s">
        <v>319</v>
      </c>
      <c r="D78" s="126" t="s">
        <v>319</v>
      </c>
      <c r="E78" s="126" t="s">
        <v>319</v>
      </c>
      <c r="F78" s="126" t="s">
        <v>319</v>
      </c>
      <c r="G78" s="126">
        <f>(18*0.96)</f>
        <v>17.28</v>
      </c>
      <c r="H78" s="126">
        <f>(162*0.96)</f>
        <v>155.51999999999998</v>
      </c>
      <c r="I78" s="126" t="s">
        <v>319</v>
      </c>
      <c r="J78" s="134"/>
      <c r="K78" s="134"/>
      <c r="M78" s="126" t="s">
        <v>319</v>
      </c>
      <c r="N78" s="126" t="s">
        <v>319</v>
      </c>
      <c r="O78" s="126" t="s">
        <v>319</v>
      </c>
      <c r="P78" s="126" t="s">
        <v>319</v>
      </c>
      <c r="Q78" s="126">
        <v>75</v>
      </c>
      <c r="R78" s="126">
        <v>125</v>
      </c>
      <c r="S78" s="126" t="s">
        <v>319</v>
      </c>
      <c r="T78" s="134"/>
      <c r="U78" s="134"/>
      <c r="W78" s="126" t="s">
        <v>319</v>
      </c>
      <c r="X78" s="126" t="s">
        <v>319</v>
      </c>
      <c r="Y78" s="126" t="s">
        <v>319</v>
      </c>
      <c r="Z78" s="126" t="s">
        <v>319</v>
      </c>
      <c r="AA78" s="126">
        <v>30</v>
      </c>
      <c r="AB78" s="126">
        <v>60</v>
      </c>
      <c r="AC78" s="126" t="s">
        <v>319</v>
      </c>
      <c r="AD78" s="134"/>
      <c r="AE78" s="134"/>
    </row>
    <row r="79" spans="1:31" ht="14.25" x14ac:dyDescent="0.2">
      <c r="A79" s="22">
        <v>68</v>
      </c>
      <c r="B79" s="34" t="s">
        <v>79</v>
      </c>
      <c r="C79" s="126">
        <f>(52*0.96)</f>
        <v>49.92</v>
      </c>
      <c r="D79" s="126">
        <f>(156*0.96)</f>
        <v>149.76</v>
      </c>
      <c r="E79" s="126" t="s">
        <v>319</v>
      </c>
      <c r="F79" s="126">
        <f t="shared" si="16"/>
        <v>288</v>
      </c>
      <c r="G79" s="126">
        <f>(18*0.96)</f>
        <v>17.28</v>
      </c>
      <c r="H79" s="126">
        <f>(162*0.96)</f>
        <v>155.51999999999998</v>
      </c>
      <c r="I79" s="126" t="s">
        <v>319</v>
      </c>
      <c r="J79" s="134"/>
      <c r="K79" s="134"/>
      <c r="M79" s="126">
        <v>150</v>
      </c>
      <c r="N79" s="126">
        <v>334</v>
      </c>
      <c r="O79" s="126" t="s">
        <v>319</v>
      </c>
      <c r="P79" s="126">
        <v>325</v>
      </c>
      <c r="Q79" s="126">
        <v>85</v>
      </c>
      <c r="R79" s="126">
        <v>125</v>
      </c>
      <c r="S79" s="126" t="s">
        <v>319</v>
      </c>
      <c r="T79" s="134"/>
      <c r="U79" s="134"/>
      <c r="W79" s="126">
        <v>360</v>
      </c>
      <c r="X79" s="126">
        <v>120</v>
      </c>
      <c r="Y79" s="126" t="s">
        <v>319</v>
      </c>
      <c r="Z79" s="126">
        <v>500</v>
      </c>
      <c r="AA79" s="126">
        <v>30</v>
      </c>
      <c r="AB79" s="126">
        <v>60</v>
      </c>
      <c r="AC79" s="126" t="s">
        <v>319</v>
      </c>
      <c r="AD79" s="134"/>
      <c r="AE79" s="134"/>
    </row>
    <row r="80" spans="1:31" ht="14.25" x14ac:dyDescent="0.2">
      <c r="A80" s="22">
        <v>69</v>
      </c>
      <c r="B80" s="34" t="s">
        <v>80</v>
      </c>
      <c r="C80" s="126">
        <f>(130*0.96)</f>
        <v>124.8</v>
      </c>
      <c r="D80" s="126">
        <f>(390*0.96)</f>
        <v>374.4</v>
      </c>
      <c r="E80" s="126" t="s">
        <v>319</v>
      </c>
      <c r="F80" s="126">
        <f t="shared" si="16"/>
        <v>288</v>
      </c>
      <c r="G80" s="126">
        <f>(24*0.96)</f>
        <v>23.04</v>
      </c>
      <c r="H80" s="126">
        <f>(216*0.96)</f>
        <v>207.35999999999999</v>
      </c>
      <c r="I80" s="126" t="s">
        <v>319</v>
      </c>
      <c r="J80" s="134"/>
      <c r="K80" s="134"/>
      <c r="M80" s="126">
        <v>200</v>
      </c>
      <c r="N80" s="126">
        <v>376</v>
      </c>
      <c r="O80" s="126" t="s">
        <v>319</v>
      </c>
      <c r="P80" s="126">
        <v>325</v>
      </c>
      <c r="Q80" s="126">
        <v>90</v>
      </c>
      <c r="R80" s="126">
        <v>125</v>
      </c>
      <c r="S80" s="126" t="s">
        <v>319</v>
      </c>
      <c r="T80" s="134"/>
      <c r="U80" s="134"/>
      <c r="W80" s="126">
        <v>360</v>
      </c>
      <c r="X80" s="126">
        <v>120</v>
      </c>
      <c r="Y80" s="126" t="s">
        <v>319</v>
      </c>
      <c r="Z80" s="126">
        <v>500</v>
      </c>
      <c r="AA80" s="126">
        <v>30</v>
      </c>
      <c r="AB80" s="126">
        <v>60</v>
      </c>
      <c r="AC80" s="126" t="s">
        <v>319</v>
      </c>
      <c r="AD80" s="134"/>
      <c r="AE80" s="134"/>
    </row>
    <row r="81" spans="1:31" ht="14.25" x14ac:dyDescent="0.2">
      <c r="A81" s="22">
        <v>70</v>
      </c>
      <c r="B81" s="34" t="s">
        <v>81</v>
      </c>
      <c r="C81" s="126" t="s">
        <v>319</v>
      </c>
      <c r="D81" s="126" t="s">
        <v>319</v>
      </c>
      <c r="E81" s="126" t="s">
        <v>319</v>
      </c>
      <c r="F81" s="126" t="s">
        <v>319</v>
      </c>
      <c r="G81" s="126">
        <f>(100*0.96)</f>
        <v>96</v>
      </c>
      <c r="H81" s="126">
        <f>(910*0.96)</f>
        <v>873.6</v>
      </c>
      <c r="I81" s="126" t="s">
        <v>319</v>
      </c>
      <c r="J81" s="134"/>
      <c r="K81" s="134"/>
      <c r="M81" s="126" t="s">
        <v>319</v>
      </c>
      <c r="N81" s="126" t="s">
        <v>319</v>
      </c>
      <c r="O81" s="126" t="s">
        <v>319</v>
      </c>
      <c r="P81" s="126" t="s">
        <v>319</v>
      </c>
      <c r="Q81" s="126">
        <v>75</v>
      </c>
      <c r="R81" s="126">
        <v>845</v>
      </c>
      <c r="S81" s="126" t="s">
        <v>319</v>
      </c>
      <c r="T81" s="134"/>
      <c r="U81" s="134"/>
      <c r="W81" s="126" t="s">
        <v>319</v>
      </c>
      <c r="X81" s="126" t="s">
        <v>319</v>
      </c>
      <c r="Y81" s="126" t="s">
        <v>319</v>
      </c>
      <c r="Z81" s="126" t="s">
        <v>319</v>
      </c>
      <c r="AA81" s="126">
        <v>200</v>
      </c>
      <c r="AB81" s="126">
        <v>1440</v>
      </c>
      <c r="AC81" s="126" t="s">
        <v>319</v>
      </c>
      <c r="AD81" s="134"/>
      <c r="AE81" s="134"/>
    </row>
    <row r="82" spans="1:31" ht="14.25" x14ac:dyDescent="0.2">
      <c r="A82" s="22">
        <v>71</v>
      </c>
      <c r="B82" s="34" t="s">
        <v>82</v>
      </c>
      <c r="C82" s="126">
        <f>(135*0.96)</f>
        <v>129.6</v>
      </c>
      <c r="D82" s="126">
        <f>(405*0.96)</f>
        <v>388.8</v>
      </c>
      <c r="E82" s="126" t="s">
        <v>319</v>
      </c>
      <c r="F82" s="126">
        <f t="shared" si="16"/>
        <v>288</v>
      </c>
      <c r="G82" s="126">
        <f>(89*0.96)</f>
        <v>85.44</v>
      </c>
      <c r="H82" s="126">
        <f>(822*0.96)</f>
        <v>789.12</v>
      </c>
      <c r="I82" s="126" t="s">
        <v>319</v>
      </c>
      <c r="J82" s="134"/>
      <c r="K82" s="134"/>
      <c r="M82" s="126">
        <v>300</v>
      </c>
      <c r="N82" s="126">
        <v>376</v>
      </c>
      <c r="O82" s="126" t="s">
        <v>319</v>
      </c>
      <c r="P82" s="126">
        <v>325</v>
      </c>
      <c r="Q82" s="126">
        <v>350</v>
      </c>
      <c r="R82" s="126">
        <v>920</v>
      </c>
      <c r="S82" s="126" t="s">
        <v>319</v>
      </c>
      <c r="T82" s="134"/>
      <c r="U82" s="134"/>
      <c r="W82" s="126">
        <v>720</v>
      </c>
      <c r="X82" s="126">
        <v>240</v>
      </c>
      <c r="Y82" s="126" t="s">
        <v>319</v>
      </c>
      <c r="Z82" s="126">
        <v>600</v>
      </c>
      <c r="AA82" s="126">
        <v>100</v>
      </c>
      <c r="AB82" s="126">
        <v>960</v>
      </c>
      <c r="AC82" s="126" t="s">
        <v>319</v>
      </c>
      <c r="AD82" s="134"/>
      <c r="AE82" s="134"/>
    </row>
    <row r="83" spans="1:31" ht="14.25" x14ac:dyDescent="0.2">
      <c r="A83" s="22">
        <v>72</v>
      </c>
      <c r="B83" s="34" t="s">
        <v>83</v>
      </c>
      <c r="C83" s="126">
        <f>(67*0.96)</f>
        <v>64.319999999999993</v>
      </c>
      <c r="D83" s="126">
        <f>(203*0.96)</f>
        <v>194.88</v>
      </c>
      <c r="E83" s="126" t="s">
        <v>319</v>
      </c>
      <c r="F83" s="126">
        <f t="shared" si="16"/>
        <v>288</v>
      </c>
      <c r="G83" s="126">
        <f>(160*0.96)</f>
        <v>153.6</v>
      </c>
      <c r="H83" s="126">
        <f>(1447*0.96)</f>
        <v>1389.12</v>
      </c>
      <c r="I83" s="126" t="s">
        <v>319</v>
      </c>
      <c r="J83" s="134"/>
      <c r="K83" s="134"/>
      <c r="M83" s="126">
        <v>150</v>
      </c>
      <c r="N83" s="126">
        <v>752</v>
      </c>
      <c r="O83" s="126" t="s">
        <v>319</v>
      </c>
      <c r="P83" s="126">
        <v>325</v>
      </c>
      <c r="Q83" s="126">
        <v>185</v>
      </c>
      <c r="R83" s="126">
        <v>2140</v>
      </c>
      <c r="S83" s="126" t="s">
        <v>319</v>
      </c>
      <c r="T83" s="134"/>
      <c r="U83" s="134"/>
      <c r="W83" s="126">
        <v>540</v>
      </c>
      <c r="X83" s="126">
        <v>180</v>
      </c>
      <c r="Y83" s="126" t="s">
        <v>319</v>
      </c>
      <c r="Z83" s="126">
        <v>500</v>
      </c>
      <c r="AA83" s="126">
        <v>100</v>
      </c>
      <c r="AB83" s="126">
        <v>720</v>
      </c>
      <c r="AC83" s="126" t="s">
        <v>319</v>
      </c>
      <c r="AD83" s="134"/>
      <c r="AE83" s="134"/>
    </row>
    <row r="84" spans="1:31" ht="14.25" x14ac:dyDescent="0.2">
      <c r="A84" s="22">
        <v>73</v>
      </c>
      <c r="B84" s="34" t="s">
        <v>84</v>
      </c>
      <c r="C84" s="126">
        <f t="shared" ref="C84:C89" si="17">(67*0.96)</f>
        <v>64.319999999999993</v>
      </c>
      <c r="D84" s="126">
        <f t="shared" ref="D84:D89" si="18">(203*0.96)</f>
        <v>194.88</v>
      </c>
      <c r="E84" s="126" t="s">
        <v>319</v>
      </c>
      <c r="F84" s="126">
        <f t="shared" si="16"/>
        <v>288</v>
      </c>
      <c r="G84" s="126">
        <f>(160*0.96)</f>
        <v>153.6</v>
      </c>
      <c r="H84" s="126">
        <f>(1447*0.96)</f>
        <v>1389.12</v>
      </c>
      <c r="I84" s="126" t="s">
        <v>319</v>
      </c>
      <c r="J84" s="134"/>
      <c r="K84" s="134"/>
      <c r="M84" s="126">
        <v>150</v>
      </c>
      <c r="N84" s="126">
        <v>376</v>
      </c>
      <c r="O84" s="126" t="s">
        <v>319</v>
      </c>
      <c r="P84" s="126">
        <v>325</v>
      </c>
      <c r="Q84" s="126">
        <v>75</v>
      </c>
      <c r="R84" s="126">
        <v>1400</v>
      </c>
      <c r="S84" s="126" t="s">
        <v>319</v>
      </c>
      <c r="T84" s="134"/>
      <c r="U84" s="134"/>
      <c r="W84" s="126">
        <v>540</v>
      </c>
      <c r="X84" s="126">
        <v>180</v>
      </c>
      <c r="Y84" s="126" t="s">
        <v>319</v>
      </c>
      <c r="Z84" s="126">
        <v>500</v>
      </c>
      <c r="AA84" s="126">
        <v>100</v>
      </c>
      <c r="AB84" s="126">
        <v>720</v>
      </c>
      <c r="AC84" s="126" t="s">
        <v>319</v>
      </c>
      <c r="AD84" s="134"/>
      <c r="AE84" s="134"/>
    </row>
    <row r="85" spans="1:31" ht="14.25" x14ac:dyDescent="0.2">
      <c r="A85" s="22">
        <v>74</v>
      </c>
      <c r="B85" s="34" t="s">
        <v>85</v>
      </c>
      <c r="C85" s="126">
        <f t="shared" si="17"/>
        <v>64.319999999999993</v>
      </c>
      <c r="D85" s="126">
        <f t="shared" si="18"/>
        <v>194.88</v>
      </c>
      <c r="E85" s="126" t="s">
        <v>319</v>
      </c>
      <c r="F85" s="126">
        <f t="shared" si="16"/>
        <v>288</v>
      </c>
      <c r="G85" s="126">
        <f>(77*0.96)</f>
        <v>73.92</v>
      </c>
      <c r="H85" s="126">
        <f>(697*0.96)</f>
        <v>669.12</v>
      </c>
      <c r="I85" s="126" t="s">
        <v>319</v>
      </c>
      <c r="J85" s="134"/>
      <c r="K85" s="134"/>
      <c r="M85" s="126">
        <v>150</v>
      </c>
      <c r="N85" s="126">
        <v>376</v>
      </c>
      <c r="O85" s="126" t="s">
        <v>319</v>
      </c>
      <c r="P85" s="126">
        <v>325</v>
      </c>
      <c r="Q85" s="126">
        <v>175</v>
      </c>
      <c r="R85" s="126">
        <v>730</v>
      </c>
      <c r="S85" s="126" t="s">
        <v>319</v>
      </c>
      <c r="T85" s="134"/>
      <c r="U85" s="134"/>
      <c r="W85" s="126">
        <v>360</v>
      </c>
      <c r="X85" s="126">
        <v>120</v>
      </c>
      <c r="Y85" s="126" t="s">
        <v>319</v>
      </c>
      <c r="Z85" s="126">
        <v>500</v>
      </c>
      <c r="AA85" s="126">
        <v>100</v>
      </c>
      <c r="AB85" s="126">
        <v>720</v>
      </c>
      <c r="AC85" s="126" t="s">
        <v>319</v>
      </c>
      <c r="AD85" s="134"/>
      <c r="AE85" s="134"/>
    </row>
    <row r="86" spans="1:31" ht="14.25" x14ac:dyDescent="0.2">
      <c r="A86" s="22">
        <v>75</v>
      </c>
      <c r="B86" s="34" t="s">
        <v>86</v>
      </c>
      <c r="C86" s="126" t="s">
        <v>319</v>
      </c>
      <c r="D86" s="126" t="s">
        <v>319</v>
      </c>
      <c r="E86" s="126" t="s">
        <v>319</v>
      </c>
      <c r="F86" s="126" t="s">
        <v>319</v>
      </c>
      <c r="G86" s="126">
        <f>(18*0.96)</f>
        <v>17.28</v>
      </c>
      <c r="H86" s="126">
        <f>(162*0.96)</f>
        <v>155.51999999999998</v>
      </c>
      <c r="I86" s="126" t="s">
        <v>319</v>
      </c>
      <c r="J86" s="134"/>
      <c r="K86" s="134"/>
      <c r="M86" s="126" t="s">
        <v>319</v>
      </c>
      <c r="N86" s="126" t="s">
        <v>319</v>
      </c>
      <c r="O86" s="126" t="s">
        <v>319</v>
      </c>
      <c r="P86" s="126" t="s">
        <v>319</v>
      </c>
      <c r="Q86" s="126">
        <v>75</v>
      </c>
      <c r="R86" s="126">
        <v>120</v>
      </c>
      <c r="S86" s="126" t="s">
        <v>319</v>
      </c>
      <c r="T86" s="134"/>
      <c r="U86" s="134"/>
      <c r="W86" s="126" t="s">
        <v>319</v>
      </c>
      <c r="X86" s="126" t="s">
        <v>319</v>
      </c>
      <c r="Y86" s="126" t="s">
        <v>319</v>
      </c>
      <c r="Z86" s="126" t="s">
        <v>319</v>
      </c>
      <c r="AA86" s="126">
        <v>30</v>
      </c>
      <c r="AB86" s="126">
        <v>60</v>
      </c>
      <c r="AC86" s="126" t="s">
        <v>319</v>
      </c>
      <c r="AD86" s="134"/>
      <c r="AE86" s="134"/>
    </row>
    <row r="87" spans="1:31" ht="14.25" x14ac:dyDescent="0.2">
      <c r="A87" s="22">
        <v>76</v>
      </c>
      <c r="B87" s="34" t="s">
        <v>87</v>
      </c>
      <c r="C87" s="126">
        <f t="shared" si="17"/>
        <v>64.319999999999993</v>
      </c>
      <c r="D87" s="126">
        <f t="shared" si="18"/>
        <v>194.88</v>
      </c>
      <c r="E87" s="126" t="s">
        <v>319</v>
      </c>
      <c r="F87" s="126">
        <f t="shared" si="16"/>
        <v>288</v>
      </c>
      <c r="G87" s="126">
        <f>(18*0.96)</f>
        <v>17.28</v>
      </c>
      <c r="H87" s="126">
        <f>(162*0.96)</f>
        <v>155.51999999999998</v>
      </c>
      <c r="I87" s="126" t="s">
        <v>319</v>
      </c>
      <c r="J87" s="134"/>
      <c r="K87" s="134"/>
      <c r="M87" s="126">
        <v>150</v>
      </c>
      <c r="N87" s="126">
        <v>188</v>
      </c>
      <c r="O87" s="126" t="s">
        <v>319</v>
      </c>
      <c r="P87" s="126">
        <v>325</v>
      </c>
      <c r="Q87" s="126">
        <v>80</v>
      </c>
      <c r="R87" s="126">
        <v>125</v>
      </c>
      <c r="S87" s="126" t="s">
        <v>319</v>
      </c>
      <c r="T87" s="134"/>
      <c r="U87" s="134"/>
      <c r="W87" s="126">
        <v>360</v>
      </c>
      <c r="X87" s="126">
        <v>120</v>
      </c>
      <c r="Y87" s="126" t="s">
        <v>319</v>
      </c>
      <c r="Z87" s="126">
        <v>500</v>
      </c>
      <c r="AA87" s="126">
        <v>30</v>
      </c>
      <c r="AB87" s="126">
        <v>60</v>
      </c>
      <c r="AC87" s="126" t="s">
        <v>319</v>
      </c>
      <c r="AD87" s="134"/>
      <c r="AE87" s="134"/>
    </row>
    <row r="88" spans="1:31" ht="14.25" x14ac:dyDescent="0.2">
      <c r="A88" s="22">
        <v>77</v>
      </c>
      <c r="B88" s="34" t="s">
        <v>88</v>
      </c>
      <c r="C88" s="126" t="s">
        <v>319</v>
      </c>
      <c r="D88" s="126" t="s">
        <v>319</v>
      </c>
      <c r="E88" s="126" t="s">
        <v>319</v>
      </c>
      <c r="F88" s="126" t="s">
        <v>319</v>
      </c>
      <c r="G88" s="126">
        <f>(12*0.96)</f>
        <v>11.52</v>
      </c>
      <c r="H88" s="126">
        <f>(108*0.96)</f>
        <v>103.67999999999999</v>
      </c>
      <c r="I88" s="126" t="s">
        <v>319</v>
      </c>
      <c r="J88" s="134"/>
      <c r="K88" s="134"/>
      <c r="M88" s="126" t="s">
        <v>319</v>
      </c>
      <c r="N88" s="126" t="s">
        <v>319</v>
      </c>
      <c r="O88" s="126" t="s">
        <v>319</v>
      </c>
      <c r="P88" s="126" t="s">
        <v>319</v>
      </c>
      <c r="Q88" s="126">
        <v>75</v>
      </c>
      <c r="R88" s="126">
        <v>125</v>
      </c>
      <c r="S88" s="126" t="s">
        <v>319</v>
      </c>
      <c r="T88" s="134"/>
      <c r="U88" s="134"/>
      <c r="W88" s="126" t="s">
        <v>319</v>
      </c>
      <c r="X88" s="126" t="s">
        <v>319</v>
      </c>
      <c r="Y88" s="126" t="s">
        <v>319</v>
      </c>
      <c r="Z88" s="126" t="s">
        <v>319</v>
      </c>
      <c r="AA88" s="126">
        <v>30</v>
      </c>
      <c r="AB88" s="126">
        <v>60</v>
      </c>
      <c r="AC88" s="126" t="s">
        <v>319</v>
      </c>
      <c r="AD88" s="134"/>
      <c r="AE88" s="134"/>
    </row>
    <row r="89" spans="1:31" ht="14.25" x14ac:dyDescent="0.2">
      <c r="A89" s="22">
        <v>78</v>
      </c>
      <c r="B89" s="34" t="s">
        <v>89</v>
      </c>
      <c r="C89" s="126">
        <f t="shared" si="17"/>
        <v>64.319999999999993</v>
      </c>
      <c r="D89" s="126">
        <f t="shared" si="18"/>
        <v>194.88</v>
      </c>
      <c r="E89" s="126" t="s">
        <v>319</v>
      </c>
      <c r="F89" s="126">
        <f t="shared" si="16"/>
        <v>288</v>
      </c>
      <c r="G89" s="126">
        <f>(65*0.96)</f>
        <v>62.4</v>
      </c>
      <c r="H89" s="126">
        <f>(590*0.96)</f>
        <v>566.4</v>
      </c>
      <c r="I89" s="126" t="s">
        <v>319</v>
      </c>
      <c r="J89" s="134"/>
      <c r="K89" s="134"/>
      <c r="M89" s="126">
        <v>150</v>
      </c>
      <c r="N89" s="126">
        <v>188</v>
      </c>
      <c r="O89" s="126" t="s">
        <v>319</v>
      </c>
      <c r="P89" s="126">
        <v>325</v>
      </c>
      <c r="Q89" s="126">
        <v>170</v>
      </c>
      <c r="R89" s="126">
        <v>610</v>
      </c>
      <c r="S89" s="126" t="s">
        <v>319</v>
      </c>
      <c r="T89" s="134"/>
      <c r="U89" s="134"/>
      <c r="W89" s="126">
        <v>360</v>
      </c>
      <c r="X89" s="126">
        <v>120</v>
      </c>
      <c r="Y89" s="126" t="s">
        <v>319</v>
      </c>
      <c r="Z89" s="126">
        <v>500</v>
      </c>
      <c r="AA89" s="126">
        <v>100</v>
      </c>
      <c r="AB89" s="126">
        <v>480</v>
      </c>
      <c r="AC89" s="126" t="s">
        <v>319</v>
      </c>
      <c r="AD89" s="134"/>
      <c r="AE89" s="134"/>
    </row>
    <row r="90" spans="1:31" ht="14.25" x14ac:dyDescent="0.2">
      <c r="A90" s="22">
        <v>79</v>
      </c>
      <c r="B90" s="34" t="s">
        <v>90</v>
      </c>
      <c r="C90" s="126" t="s">
        <v>319</v>
      </c>
      <c r="D90" s="126" t="s">
        <v>319</v>
      </c>
      <c r="E90" s="126" t="s">
        <v>319</v>
      </c>
      <c r="F90" s="126" t="s">
        <v>319</v>
      </c>
      <c r="G90" s="126">
        <f>(30*0.96)</f>
        <v>28.799999999999997</v>
      </c>
      <c r="H90" s="126">
        <f>(270*0.96)</f>
        <v>259.2</v>
      </c>
      <c r="I90" s="126" t="s">
        <v>319</v>
      </c>
      <c r="J90" s="134"/>
      <c r="K90" s="134"/>
      <c r="M90" s="126" t="s">
        <v>319</v>
      </c>
      <c r="N90" s="126" t="s">
        <v>319</v>
      </c>
      <c r="O90" s="126" t="s">
        <v>319</v>
      </c>
      <c r="P90" s="126" t="s">
        <v>319</v>
      </c>
      <c r="Q90" s="126">
        <v>75</v>
      </c>
      <c r="R90" s="126">
        <v>170</v>
      </c>
      <c r="S90" s="126" t="s">
        <v>319</v>
      </c>
      <c r="T90" s="134"/>
      <c r="U90" s="134"/>
      <c r="W90" s="126" t="s">
        <v>319</v>
      </c>
      <c r="X90" s="126" t="s">
        <v>319</v>
      </c>
      <c r="Y90" s="126" t="s">
        <v>319</v>
      </c>
      <c r="Z90" s="126" t="s">
        <v>319</v>
      </c>
      <c r="AA90" s="126">
        <v>30</v>
      </c>
      <c r="AB90" s="126">
        <v>60</v>
      </c>
      <c r="AC90" s="126" t="s">
        <v>319</v>
      </c>
      <c r="AD90" s="134"/>
      <c r="AE90" s="134"/>
    </row>
    <row r="91" spans="1:31" ht="14.25" x14ac:dyDescent="0.2">
      <c r="A91" s="22">
        <v>80</v>
      </c>
      <c r="B91" s="34" t="s">
        <v>272</v>
      </c>
      <c r="C91" s="126" t="s">
        <v>319</v>
      </c>
      <c r="D91" s="126" t="s">
        <v>319</v>
      </c>
      <c r="E91" s="126" t="s">
        <v>319</v>
      </c>
      <c r="F91" s="126" t="s">
        <v>319</v>
      </c>
      <c r="G91" s="126">
        <f>(30*0.96)</f>
        <v>28.799999999999997</v>
      </c>
      <c r="H91" s="126">
        <f>(270*0.96)</f>
        <v>259.2</v>
      </c>
      <c r="I91" s="126" t="s">
        <v>319</v>
      </c>
      <c r="J91" s="134"/>
      <c r="K91" s="134"/>
      <c r="M91" s="126" t="s">
        <v>319</v>
      </c>
      <c r="N91" s="126" t="s">
        <v>319</v>
      </c>
      <c r="O91" s="126" t="s">
        <v>319</v>
      </c>
      <c r="P91" s="126" t="s">
        <v>319</v>
      </c>
      <c r="Q91" s="126">
        <v>75</v>
      </c>
      <c r="R91" s="126">
        <v>385</v>
      </c>
      <c r="S91" s="126" t="s">
        <v>319</v>
      </c>
      <c r="T91" s="134"/>
      <c r="U91" s="134"/>
      <c r="W91" s="126" t="s">
        <v>319</v>
      </c>
      <c r="X91" s="126" t="s">
        <v>319</v>
      </c>
      <c r="Y91" s="126" t="s">
        <v>319</v>
      </c>
      <c r="Z91" s="126" t="s">
        <v>319</v>
      </c>
      <c r="AA91" s="126">
        <v>150</v>
      </c>
      <c r="AB91" s="126">
        <v>240</v>
      </c>
      <c r="AC91" s="126" t="s">
        <v>319</v>
      </c>
      <c r="AD91" s="134"/>
      <c r="AE91" s="134"/>
    </row>
    <row r="92" spans="1:31" ht="14.25" x14ac:dyDescent="0.2">
      <c r="A92" s="22">
        <v>81</v>
      </c>
      <c r="B92" s="68" t="s">
        <v>266</v>
      </c>
      <c r="C92" s="126">
        <f>(157*0.96)</f>
        <v>150.72</v>
      </c>
      <c r="D92" s="126">
        <f>(473*0.96)</f>
        <v>454.08</v>
      </c>
      <c r="E92" s="126" t="s">
        <v>319</v>
      </c>
      <c r="F92" s="126">
        <f t="shared" ref="F92" si="19">+(300*0.96)</f>
        <v>288</v>
      </c>
      <c r="G92" s="126">
        <f>(49*0.96)</f>
        <v>47.04</v>
      </c>
      <c r="H92" s="126">
        <f>(441*0.96)</f>
        <v>423.35999999999996</v>
      </c>
      <c r="I92" s="126" t="s">
        <v>319</v>
      </c>
      <c r="J92" s="134"/>
      <c r="K92" s="134"/>
      <c r="M92" s="126" t="s">
        <v>319</v>
      </c>
      <c r="N92" s="126" t="s">
        <v>319</v>
      </c>
      <c r="O92" s="126" t="s">
        <v>319</v>
      </c>
      <c r="P92" s="126" t="s">
        <v>319</v>
      </c>
      <c r="Q92" s="126">
        <v>225</v>
      </c>
      <c r="R92" s="126">
        <v>795</v>
      </c>
      <c r="S92" s="126" t="s">
        <v>319</v>
      </c>
      <c r="T92" s="134"/>
      <c r="U92" s="134"/>
      <c r="W92" s="126">
        <v>360</v>
      </c>
      <c r="X92" s="126">
        <v>120</v>
      </c>
      <c r="Y92" s="126" t="s">
        <v>319</v>
      </c>
      <c r="Z92" s="126">
        <v>500</v>
      </c>
      <c r="AA92" s="126">
        <v>100</v>
      </c>
      <c r="AB92" s="126">
        <v>480</v>
      </c>
      <c r="AC92" s="126" t="s">
        <v>319</v>
      </c>
      <c r="AD92" s="134"/>
      <c r="AE92" s="134"/>
    </row>
    <row r="93" spans="1:31" ht="14.25" x14ac:dyDescent="0.2">
      <c r="A93" s="22">
        <v>82</v>
      </c>
      <c r="B93" s="68" t="s">
        <v>474</v>
      </c>
      <c r="C93" s="126" t="s">
        <v>319</v>
      </c>
      <c r="D93" s="126" t="s">
        <v>319</v>
      </c>
      <c r="E93" s="126" t="s">
        <v>319</v>
      </c>
      <c r="F93" s="126" t="s">
        <v>319</v>
      </c>
      <c r="G93" s="186">
        <v>200</v>
      </c>
      <c r="H93" s="186">
        <v>800</v>
      </c>
      <c r="I93" s="126" t="s">
        <v>319</v>
      </c>
      <c r="J93" s="134"/>
      <c r="K93" s="134"/>
      <c r="M93" s="126" t="s">
        <v>319</v>
      </c>
      <c r="N93" s="126" t="s">
        <v>319</v>
      </c>
      <c r="O93" s="126" t="s">
        <v>319</v>
      </c>
      <c r="P93" s="126" t="s">
        <v>319</v>
      </c>
      <c r="Q93" s="186">
        <v>150</v>
      </c>
      <c r="R93" s="186">
        <v>450</v>
      </c>
      <c r="S93" s="126" t="s">
        <v>319</v>
      </c>
      <c r="T93" s="134"/>
      <c r="U93" s="134"/>
      <c r="W93" s="126" t="s">
        <v>319</v>
      </c>
      <c r="X93" s="126" t="s">
        <v>319</v>
      </c>
      <c r="Y93" s="126" t="s">
        <v>319</v>
      </c>
      <c r="Z93" s="126" t="s">
        <v>319</v>
      </c>
      <c r="AA93" s="186">
        <v>120</v>
      </c>
      <c r="AB93" s="186">
        <v>240</v>
      </c>
      <c r="AC93" s="126" t="s">
        <v>319</v>
      </c>
      <c r="AD93" s="134"/>
      <c r="AE93" s="134"/>
    </row>
    <row r="94" spans="1:31" ht="28.5" x14ac:dyDescent="0.2">
      <c r="A94" s="22">
        <v>83</v>
      </c>
      <c r="B94" s="68" t="s">
        <v>476</v>
      </c>
      <c r="C94" s="186">
        <v>250</v>
      </c>
      <c r="D94" s="186">
        <v>600</v>
      </c>
      <c r="E94" s="186" t="s">
        <v>319</v>
      </c>
      <c r="F94" s="186">
        <v>300</v>
      </c>
      <c r="G94" s="186">
        <v>200</v>
      </c>
      <c r="H94" s="186">
        <v>1360</v>
      </c>
      <c r="I94" s="126" t="s">
        <v>319</v>
      </c>
      <c r="J94" s="134"/>
      <c r="K94" s="134"/>
      <c r="M94" s="126" t="s">
        <v>319</v>
      </c>
      <c r="N94" s="126" t="s">
        <v>319</v>
      </c>
      <c r="O94" s="126" t="s">
        <v>319</v>
      </c>
      <c r="P94" s="126" t="s">
        <v>319</v>
      </c>
      <c r="Q94" s="186">
        <v>300</v>
      </c>
      <c r="R94" s="186">
        <v>1200</v>
      </c>
      <c r="S94" s="126" t="s">
        <v>319</v>
      </c>
      <c r="T94" s="134"/>
      <c r="U94" s="134"/>
      <c r="W94" s="186">
        <v>360</v>
      </c>
      <c r="X94" s="186">
        <v>480</v>
      </c>
      <c r="Y94" s="186">
        <v>240</v>
      </c>
      <c r="Z94" s="186">
        <v>500</v>
      </c>
      <c r="AA94" s="186">
        <v>120</v>
      </c>
      <c r="AB94" s="186">
        <v>360</v>
      </c>
      <c r="AC94" s="126" t="s">
        <v>319</v>
      </c>
      <c r="AD94" s="134"/>
      <c r="AE94" s="134"/>
    </row>
    <row r="95" spans="1:31" ht="14.25" x14ac:dyDescent="0.2">
      <c r="A95" s="22">
        <v>84</v>
      </c>
      <c r="B95" s="68" t="s">
        <v>475</v>
      </c>
      <c r="C95" s="186">
        <v>150</v>
      </c>
      <c r="D95" s="186">
        <v>400</v>
      </c>
      <c r="E95" s="186" t="s">
        <v>319</v>
      </c>
      <c r="F95" s="186">
        <v>300</v>
      </c>
      <c r="G95" s="186">
        <v>200</v>
      </c>
      <c r="H95" s="186">
        <v>400</v>
      </c>
      <c r="I95" s="126" t="s">
        <v>319</v>
      </c>
      <c r="J95" s="134"/>
      <c r="K95" s="134"/>
      <c r="M95" s="126" t="s">
        <v>319</v>
      </c>
      <c r="N95" s="126" t="s">
        <v>319</v>
      </c>
      <c r="O95" s="126" t="s">
        <v>319</v>
      </c>
      <c r="P95" s="126" t="s">
        <v>319</v>
      </c>
      <c r="Q95" s="126" t="s">
        <v>319</v>
      </c>
      <c r="R95" s="126" t="s">
        <v>319</v>
      </c>
      <c r="S95" s="126" t="s">
        <v>319</v>
      </c>
      <c r="T95" s="134"/>
      <c r="U95" s="134"/>
      <c r="W95" s="126" t="s">
        <v>319</v>
      </c>
      <c r="X95" s="126" t="s">
        <v>319</v>
      </c>
      <c r="Y95" s="126" t="s">
        <v>319</v>
      </c>
      <c r="Z95" s="126" t="s">
        <v>319</v>
      </c>
      <c r="AA95" s="186">
        <v>120</v>
      </c>
      <c r="AB95" s="186">
        <v>120</v>
      </c>
      <c r="AC95" s="126" t="s">
        <v>319</v>
      </c>
      <c r="AD95" s="134"/>
      <c r="AE95" s="134"/>
    </row>
    <row r="96" spans="1:31" ht="14.25" x14ac:dyDescent="0.2">
      <c r="A96" s="22" t="s">
        <v>292</v>
      </c>
      <c r="B96" s="36"/>
      <c r="C96" s="135"/>
      <c r="D96" s="135"/>
      <c r="E96" s="135"/>
      <c r="F96" s="245"/>
      <c r="G96" s="246"/>
      <c r="H96" s="247"/>
      <c r="I96" s="135"/>
      <c r="J96" s="117"/>
      <c r="K96" s="117"/>
      <c r="M96" s="135"/>
      <c r="N96" s="135"/>
      <c r="O96" s="135"/>
      <c r="P96" s="245"/>
      <c r="Q96" s="246"/>
      <c r="R96" s="247"/>
      <c r="S96" s="135"/>
      <c r="T96" s="248"/>
      <c r="U96" s="248"/>
      <c r="W96" s="116"/>
      <c r="X96" s="116"/>
      <c r="Y96" s="116"/>
      <c r="Z96" s="118"/>
      <c r="AA96" s="187"/>
      <c r="AB96" s="119"/>
      <c r="AC96" s="116"/>
      <c r="AD96" s="250"/>
      <c r="AE96" s="250"/>
    </row>
    <row r="97" spans="2:31" ht="15" x14ac:dyDescent="0.25">
      <c r="B97" s="48" t="s">
        <v>2</v>
      </c>
      <c r="C97" s="126">
        <v>14795.2</v>
      </c>
      <c r="D97" s="126">
        <v>45072.639999999999</v>
      </c>
      <c r="E97" s="126" t="s">
        <v>319</v>
      </c>
      <c r="F97" s="126">
        <v>13848</v>
      </c>
      <c r="G97" s="126">
        <v>10058.879999999999</v>
      </c>
      <c r="H97" s="126">
        <v>87307.839999999997</v>
      </c>
      <c r="I97" s="126" t="s">
        <v>319</v>
      </c>
      <c r="J97" s="126">
        <v>115</v>
      </c>
      <c r="K97" s="126">
        <v>750</v>
      </c>
      <c r="M97" s="249">
        <v>13575</v>
      </c>
      <c r="N97" s="249">
        <v>20388</v>
      </c>
      <c r="O97" s="249">
        <v>1400</v>
      </c>
      <c r="P97" s="249">
        <v>12675</v>
      </c>
      <c r="Q97" s="249">
        <v>14200</v>
      </c>
      <c r="R97" s="249">
        <v>90444</v>
      </c>
      <c r="S97" s="249" t="s">
        <v>319</v>
      </c>
      <c r="T97" s="249">
        <v>90</v>
      </c>
      <c r="U97" s="249">
        <v>350</v>
      </c>
      <c r="W97" s="126">
        <v>41090</v>
      </c>
      <c r="X97" s="126">
        <v>14090</v>
      </c>
      <c r="Y97" s="126">
        <v>1320</v>
      </c>
      <c r="Z97" s="126">
        <v>26850</v>
      </c>
      <c r="AA97" s="126">
        <v>6760</v>
      </c>
      <c r="AB97" s="126">
        <v>101500</v>
      </c>
      <c r="AC97" s="126">
        <v>60</v>
      </c>
      <c r="AD97" s="126">
        <v>93.75</v>
      </c>
      <c r="AE97" s="126">
        <v>800</v>
      </c>
    </row>
    <row r="98" spans="2:31" ht="12.75" x14ac:dyDescent="0.2">
      <c r="B98" s="17"/>
    </row>
    <row r="99" spans="2:31" ht="12.75" x14ac:dyDescent="0.2">
      <c r="B99" s="17"/>
    </row>
    <row r="100" spans="2:31" ht="15" x14ac:dyDescent="0.25">
      <c r="B100" s="3" t="s">
        <v>4</v>
      </c>
      <c r="C100" s="4" t="s">
        <v>5</v>
      </c>
      <c r="D100" s="4" t="s">
        <v>6</v>
      </c>
      <c r="E100" s="10" t="s">
        <v>7</v>
      </c>
      <c r="M100" s="107" t="s">
        <v>5</v>
      </c>
      <c r="N100" s="107" t="s">
        <v>6</v>
      </c>
      <c r="O100" s="108" t="s">
        <v>7</v>
      </c>
      <c r="W100" s="107" t="s">
        <v>5</v>
      </c>
      <c r="X100" s="107" t="s">
        <v>6</v>
      </c>
      <c r="Y100" s="108" t="s">
        <v>7</v>
      </c>
    </row>
    <row r="101" spans="2:31" ht="14.25" x14ac:dyDescent="0.2">
      <c r="B101" s="3"/>
      <c r="C101" s="95">
        <v>185</v>
      </c>
      <c r="D101" s="127">
        <v>185</v>
      </c>
      <c r="E101" s="95">
        <v>150</v>
      </c>
      <c r="M101" s="95">
        <v>176.44</v>
      </c>
      <c r="N101" s="95">
        <v>176.44</v>
      </c>
      <c r="O101" s="95">
        <v>143.13</v>
      </c>
      <c r="W101" s="95">
        <v>180</v>
      </c>
      <c r="X101" s="95">
        <v>240</v>
      </c>
      <c r="Y101" s="95">
        <v>180</v>
      </c>
    </row>
    <row r="102" spans="2:31" ht="14.25" x14ac:dyDescent="0.2">
      <c r="B102" s="3"/>
    </row>
    <row r="103" spans="2:31" ht="14.25" x14ac:dyDescent="0.2">
      <c r="B103" s="3" t="s">
        <v>10</v>
      </c>
      <c r="C103" s="216" t="s">
        <v>310</v>
      </c>
      <c r="D103" s="217"/>
      <c r="E103" s="218"/>
      <c r="M103" s="216" t="s">
        <v>292</v>
      </c>
      <c r="N103" s="217"/>
      <c r="O103" s="218"/>
      <c r="W103" s="223" t="s">
        <v>327</v>
      </c>
      <c r="X103" s="224"/>
      <c r="Y103" s="225"/>
    </row>
    <row r="104" spans="2:31" ht="14.25" x14ac:dyDescent="0.2">
      <c r="B104" s="3"/>
      <c r="C104" s="216" t="s">
        <v>311</v>
      </c>
      <c r="D104" s="217"/>
      <c r="E104" s="218"/>
      <c r="M104" s="216" t="s">
        <v>292</v>
      </c>
      <c r="N104" s="217"/>
      <c r="O104" s="218"/>
      <c r="W104" s="223" t="s">
        <v>328</v>
      </c>
      <c r="X104" s="224"/>
      <c r="Y104" s="225"/>
    </row>
    <row r="105" spans="2:31" ht="14.25" x14ac:dyDescent="0.2">
      <c r="B105" s="3"/>
      <c r="C105" s="216" t="s">
        <v>312</v>
      </c>
      <c r="D105" s="217"/>
      <c r="E105" s="218"/>
      <c r="M105" s="216" t="s">
        <v>323</v>
      </c>
      <c r="N105" s="217"/>
      <c r="O105" s="218"/>
      <c r="W105" s="223" t="s">
        <v>329</v>
      </c>
      <c r="X105" s="224"/>
      <c r="Y105" s="225"/>
    </row>
    <row r="106" spans="2:31" ht="14.25" x14ac:dyDescent="0.2">
      <c r="B106" s="3"/>
      <c r="C106" s="216" t="s">
        <v>313</v>
      </c>
      <c r="D106" s="217"/>
      <c r="E106" s="218"/>
      <c r="M106" s="216" t="s">
        <v>292</v>
      </c>
      <c r="N106" s="217"/>
      <c r="O106" s="218"/>
      <c r="W106" s="223" t="s">
        <v>330</v>
      </c>
      <c r="X106" s="224"/>
      <c r="Y106" s="225"/>
    </row>
    <row r="107" spans="2:31" ht="14.25" x14ac:dyDescent="0.2">
      <c r="B107" s="3"/>
      <c r="C107" s="216" t="s">
        <v>314</v>
      </c>
      <c r="D107" s="217"/>
      <c r="E107" s="218"/>
      <c r="M107" s="216" t="s">
        <v>292</v>
      </c>
      <c r="N107" s="217"/>
      <c r="O107" s="218"/>
      <c r="W107" s="216" t="s">
        <v>292</v>
      </c>
      <c r="X107" s="217"/>
      <c r="Y107" s="218"/>
    </row>
    <row r="108" spans="2:31" x14ac:dyDescent="0.15">
      <c r="B108" s="18"/>
    </row>
    <row r="109" spans="2:31" x14ac:dyDescent="0.15">
      <c r="B109" s="18"/>
    </row>
    <row r="110" spans="2:31" x14ac:dyDescent="0.15">
      <c r="B110" s="18"/>
    </row>
    <row r="111" spans="2:31" x14ac:dyDescent="0.15">
      <c r="B111" s="155"/>
      <c r="C111" s="156"/>
      <c r="D111" s="156"/>
      <c r="E111" s="156"/>
    </row>
    <row r="112" spans="2:31" x14ac:dyDescent="0.15">
      <c r="B112" s="155"/>
      <c r="C112" s="156"/>
      <c r="D112" s="156"/>
      <c r="E112" s="156"/>
    </row>
    <row r="113" spans="2:5" x14ac:dyDescent="0.15">
      <c r="B113" s="155"/>
      <c r="C113" s="156"/>
      <c r="D113" s="156"/>
      <c r="E113" s="156"/>
    </row>
    <row r="114" spans="2:5" x14ac:dyDescent="0.15">
      <c r="B114" s="155"/>
      <c r="C114" s="156"/>
      <c r="D114" s="156"/>
      <c r="E114" s="156"/>
    </row>
    <row r="115" spans="2:5" x14ac:dyDescent="0.15">
      <c r="B115" s="18"/>
    </row>
    <row r="116" spans="2:5" x14ac:dyDescent="0.15">
      <c r="B116" s="18"/>
    </row>
    <row r="117" spans="2:5" x14ac:dyDescent="0.15">
      <c r="B117" s="18"/>
    </row>
  </sheetData>
  <autoFilter ref="A1:AE117" xr:uid="{00000000-0009-0000-0000-000002000000}">
    <filterColumn colId="1" showButton="0"/>
    <filterColumn colId="2" showButton="0"/>
    <filterColumn colId="3" showButton="0"/>
    <filterColumn colId="4" showButton="0"/>
    <filterColumn colId="5" showButton="0"/>
  </autoFilter>
  <mergeCells count="37">
    <mergeCell ref="M104:O104"/>
    <mergeCell ref="M107:O107"/>
    <mergeCell ref="W107:Y107"/>
    <mergeCell ref="W104:Y104"/>
    <mergeCell ref="W105:Y105"/>
    <mergeCell ref="W106:Y106"/>
    <mergeCell ref="M105:O105"/>
    <mergeCell ref="M106:O106"/>
    <mergeCell ref="M6:Q6"/>
    <mergeCell ref="M7:Q7"/>
    <mergeCell ref="M8:Q8"/>
    <mergeCell ref="W103:Y103"/>
    <mergeCell ref="N10:O10"/>
    <mergeCell ref="X10:Y10"/>
    <mergeCell ref="M103:O103"/>
    <mergeCell ref="W5:AA5"/>
    <mergeCell ref="W6:AA6"/>
    <mergeCell ref="W7:AA7"/>
    <mergeCell ref="W8:AA8"/>
    <mergeCell ref="W3:AA3"/>
    <mergeCell ref="W4:AA4"/>
    <mergeCell ref="C104:E104"/>
    <mergeCell ref="C105:E105"/>
    <mergeCell ref="C106:E106"/>
    <mergeCell ref="C107:E107"/>
    <mergeCell ref="C6:G6"/>
    <mergeCell ref="C7:G7"/>
    <mergeCell ref="D10:E10"/>
    <mergeCell ref="C8:G8"/>
    <mergeCell ref="C103:E103"/>
    <mergeCell ref="M3:Q3"/>
    <mergeCell ref="B1:G1"/>
    <mergeCell ref="C3:G3"/>
    <mergeCell ref="C4:G4"/>
    <mergeCell ref="C5:G5"/>
    <mergeCell ref="M4:Q4"/>
    <mergeCell ref="M5:Q5"/>
  </mergeCells>
  <pageMargins left="0.7" right="0.7" top="0.75" bottom="0.75" header="0.3" footer="0.3"/>
  <pageSetup paperSize="5" scale="75" orientation="portrait" verticalDpi="90" r:id="rId1"/>
  <rowBreaks count="1" manualBreakCount="1">
    <brk id="4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Y97"/>
  <sheetViews>
    <sheetView topLeftCell="A44" zoomScaleNormal="100" workbookViewId="0">
      <selection activeCell="A79" sqref="A79"/>
    </sheetView>
  </sheetViews>
  <sheetFormatPr defaultRowHeight="12" x14ac:dyDescent="0.15"/>
  <cols>
    <col min="1" max="1" width="4.375" customWidth="1"/>
    <col min="2" max="2" width="37.25" customWidth="1"/>
    <col min="3" max="3" width="15.25" customWidth="1"/>
    <col min="4" max="5" width="14.625" customWidth="1"/>
    <col min="6" max="6" width="12" bestFit="1" customWidth="1"/>
    <col min="7" max="7" width="15.375" bestFit="1" customWidth="1"/>
    <col min="8" max="8" width="14.125" bestFit="1" customWidth="1"/>
    <col min="9" max="9" width="13.625" bestFit="1" customWidth="1"/>
    <col min="15" max="15" width="16.125" customWidth="1"/>
    <col min="16" max="16" width="11.875" customWidth="1"/>
    <col min="17" max="17" width="13.625" bestFit="1" customWidth="1"/>
    <col min="21" max="21" width="10.125" customWidth="1"/>
    <col min="24" max="24" width="11.875" customWidth="1"/>
    <col min="25" max="25" width="13.625" bestFit="1" customWidth="1"/>
  </cols>
  <sheetData>
    <row r="1" spans="1:25" ht="18" x14ac:dyDescent="0.25">
      <c r="A1" s="22"/>
      <c r="B1" s="214"/>
      <c r="C1" s="215"/>
      <c r="D1" s="215"/>
      <c r="E1" s="215"/>
      <c r="F1" s="215"/>
      <c r="G1" s="215"/>
    </row>
    <row r="2" spans="1:25" ht="18" x14ac:dyDescent="0.25">
      <c r="A2" s="22"/>
      <c r="B2" s="19"/>
    </row>
    <row r="3" spans="1:25" ht="18" x14ac:dyDescent="0.25">
      <c r="A3" s="22"/>
      <c r="B3" s="23"/>
      <c r="C3" s="212" t="s">
        <v>305</v>
      </c>
      <c r="D3" s="213"/>
      <c r="E3" s="213"/>
      <c r="F3" s="213"/>
      <c r="G3" s="213"/>
      <c r="K3" s="212" t="s">
        <v>425</v>
      </c>
      <c r="L3" s="213"/>
      <c r="M3" s="213"/>
      <c r="N3" s="213"/>
      <c r="O3" s="213"/>
      <c r="S3" s="212" t="s">
        <v>426</v>
      </c>
      <c r="T3" s="213"/>
      <c r="U3" s="213"/>
      <c r="V3" s="213"/>
      <c r="W3" s="213"/>
    </row>
    <row r="4" spans="1:25" ht="18" x14ac:dyDescent="0.25">
      <c r="A4" s="22"/>
      <c r="B4" s="23"/>
      <c r="C4" s="212" t="s">
        <v>408</v>
      </c>
      <c r="D4" s="213"/>
      <c r="E4" s="213"/>
      <c r="F4" s="213"/>
      <c r="G4" s="213"/>
      <c r="K4" s="212" t="s">
        <v>416</v>
      </c>
      <c r="L4" s="213"/>
      <c r="M4" s="213"/>
      <c r="N4" s="213"/>
      <c r="O4" s="213"/>
      <c r="S4" s="212" t="s">
        <v>427</v>
      </c>
      <c r="T4" s="213"/>
      <c r="U4" s="213"/>
      <c r="V4" s="213"/>
      <c r="W4" s="213"/>
    </row>
    <row r="5" spans="1:25" ht="18.600000000000001" customHeight="1" x14ac:dyDescent="0.25">
      <c r="A5" s="22"/>
      <c r="B5" s="21" t="s">
        <v>92</v>
      </c>
      <c r="C5" s="212" t="s">
        <v>409</v>
      </c>
      <c r="D5" s="213"/>
      <c r="E5" s="213"/>
      <c r="F5" s="213"/>
      <c r="G5" s="213"/>
      <c r="K5" s="212" t="s">
        <v>417</v>
      </c>
      <c r="L5" s="213"/>
      <c r="M5" s="213"/>
      <c r="N5" s="213"/>
      <c r="O5" s="213"/>
      <c r="S5" s="212" t="s">
        <v>432</v>
      </c>
      <c r="T5" s="213"/>
      <c r="U5" s="213"/>
      <c r="V5" s="213"/>
      <c r="W5" s="213"/>
    </row>
    <row r="6" spans="1:25" ht="18.600000000000001" customHeight="1" x14ac:dyDescent="0.25">
      <c r="A6" s="22"/>
      <c r="B6" s="21"/>
      <c r="C6" s="212" t="s">
        <v>410</v>
      </c>
      <c r="D6" s="213"/>
      <c r="E6" s="213"/>
      <c r="F6" s="213"/>
      <c r="G6" s="213"/>
      <c r="K6" s="212" t="s">
        <v>418</v>
      </c>
      <c r="L6" s="213"/>
      <c r="M6" s="213"/>
      <c r="N6" s="213"/>
      <c r="O6" s="213"/>
      <c r="S6" s="212" t="s">
        <v>429</v>
      </c>
      <c r="T6" s="213"/>
      <c r="U6" s="213"/>
      <c r="V6" s="213"/>
      <c r="W6" s="213"/>
    </row>
    <row r="7" spans="1:25" ht="18.600000000000001" customHeight="1" x14ac:dyDescent="0.25">
      <c r="A7" s="22"/>
      <c r="B7" s="21"/>
      <c r="C7" s="219" t="s">
        <v>411</v>
      </c>
      <c r="D7" s="220"/>
      <c r="E7" s="220"/>
      <c r="F7" s="220"/>
      <c r="G7" s="221"/>
      <c r="K7" s="219" t="s">
        <v>419</v>
      </c>
      <c r="L7" s="220"/>
      <c r="M7" s="220"/>
      <c r="N7" s="220"/>
      <c r="O7" s="221"/>
      <c r="S7" s="219" t="s">
        <v>430</v>
      </c>
      <c r="T7" s="220"/>
      <c r="U7" s="220"/>
      <c r="V7" s="220"/>
      <c r="W7" s="221"/>
    </row>
    <row r="8" spans="1:25" ht="18" x14ac:dyDescent="0.25">
      <c r="A8" s="22"/>
      <c r="B8" s="23"/>
      <c r="C8" s="212" t="s">
        <v>412</v>
      </c>
      <c r="D8" s="213"/>
      <c r="E8" s="213"/>
      <c r="F8" s="213"/>
      <c r="G8" s="213"/>
      <c r="K8" s="212" t="s">
        <v>420</v>
      </c>
      <c r="L8" s="213"/>
      <c r="M8" s="213"/>
      <c r="N8" s="213"/>
      <c r="O8" s="213"/>
      <c r="S8" s="212" t="s">
        <v>431</v>
      </c>
      <c r="T8" s="213"/>
      <c r="U8" s="213"/>
      <c r="V8" s="213"/>
      <c r="W8" s="213"/>
    </row>
    <row r="9" spans="1:25" ht="18" x14ac:dyDescent="0.25">
      <c r="A9" s="22"/>
      <c r="B9" s="20"/>
    </row>
    <row r="10" spans="1:25" ht="18" x14ac:dyDescent="0.25">
      <c r="A10" s="22"/>
      <c r="B10" s="47" t="s">
        <v>292</v>
      </c>
      <c r="C10" s="98"/>
      <c r="D10" s="99" t="s">
        <v>293</v>
      </c>
      <c r="E10" s="99"/>
      <c r="F10" s="100"/>
      <c r="G10" s="101" t="s">
        <v>299</v>
      </c>
      <c r="H10" s="102"/>
      <c r="I10" s="82" t="s">
        <v>300</v>
      </c>
      <c r="K10" s="77"/>
      <c r="L10" s="93" t="s">
        <v>293</v>
      </c>
      <c r="M10" s="93"/>
      <c r="N10" s="80"/>
      <c r="O10" s="91" t="s">
        <v>299</v>
      </c>
      <c r="P10" s="81"/>
      <c r="Q10" s="82" t="s">
        <v>300</v>
      </c>
      <c r="S10" s="77"/>
      <c r="T10" s="93" t="s">
        <v>293</v>
      </c>
      <c r="U10" s="93"/>
      <c r="V10" s="80"/>
      <c r="W10" s="91" t="s">
        <v>299</v>
      </c>
      <c r="X10" s="81"/>
      <c r="Y10" s="82" t="s">
        <v>300</v>
      </c>
    </row>
    <row r="11" spans="1:25" ht="28.35" customHeight="1" x14ac:dyDescent="0.25">
      <c r="A11" s="22"/>
      <c r="B11" s="47" t="s">
        <v>17</v>
      </c>
      <c r="C11" s="103" t="s">
        <v>294</v>
      </c>
      <c r="D11" s="104" t="s">
        <v>295</v>
      </c>
      <c r="E11" s="104" t="s">
        <v>296</v>
      </c>
      <c r="F11" s="105" t="s">
        <v>297</v>
      </c>
      <c r="G11" s="106" t="s">
        <v>298</v>
      </c>
      <c r="H11" s="106" t="s">
        <v>295</v>
      </c>
      <c r="I11" s="74" t="s">
        <v>301</v>
      </c>
      <c r="K11" s="87" t="s">
        <v>294</v>
      </c>
      <c r="L11" s="88" t="s">
        <v>295</v>
      </c>
      <c r="M11" s="88" t="s">
        <v>296</v>
      </c>
      <c r="N11" s="75" t="s">
        <v>297</v>
      </c>
      <c r="O11" s="73" t="s">
        <v>298</v>
      </c>
      <c r="P11" s="73" t="s">
        <v>295</v>
      </c>
      <c r="Q11" s="74" t="s">
        <v>301</v>
      </c>
      <c r="S11" s="87" t="s">
        <v>294</v>
      </c>
      <c r="T11" s="88" t="s">
        <v>295</v>
      </c>
      <c r="U11" s="88" t="s">
        <v>296</v>
      </c>
      <c r="V11" s="75" t="s">
        <v>297</v>
      </c>
      <c r="W11" s="73" t="s">
        <v>298</v>
      </c>
      <c r="X11" s="73" t="s">
        <v>295</v>
      </c>
      <c r="Y11" s="74" t="s">
        <v>301</v>
      </c>
    </row>
    <row r="12" spans="1:25" ht="14.25" x14ac:dyDescent="0.15">
      <c r="A12" s="22">
        <v>1</v>
      </c>
      <c r="B12" s="38" t="s">
        <v>93</v>
      </c>
      <c r="C12" s="95">
        <f>(100*0.96)</f>
        <v>96</v>
      </c>
      <c r="D12" s="95">
        <f>(300*0.96)</f>
        <v>288</v>
      </c>
      <c r="E12" s="126" t="s">
        <v>319</v>
      </c>
      <c r="F12" s="127">
        <f>(300*0.96)</f>
        <v>288</v>
      </c>
      <c r="G12" s="95">
        <f>(171*0.96)</f>
        <v>164.16</v>
      </c>
      <c r="H12" s="95">
        <f>(1539*0.96)</f>
        <v>1477.44</v>
      </c>
      <c r="I12" s="126" t="s">
        <v>319</v>
      </c>
      <c r="K12" s="114">
        <v>175</v>
      </c>
      <c r="L12" s="114">
        <v>300</v>
      </c>
      <c r="M12" s="114">
        <v>0</v>
      </c>
      <c r="N12" s="114">
        <v>325</v>
      </c>
      <c r="O12" s="114">
        <v>345</v>
      </c>
      <c r="P12" s="114">
        <v>2035</v>
      </c>
      <c r="Q12" s="126" t="s">
        <v>319</v>
      </c>
      <c r="S12" s="122">
        <v>720</v>
      </c>
      <c r="T12" s="122">
        <v>240</v>
      </c>
      <c r="U12" s="126" t="s">
        <v>319</v>
      </c>
      <c r="V12" s="122">
        <v>500</v>
      </c>
      <c r="W12" s="122">
        <v>100</v>
      </c>
      <c r="X12" s="122">
        <v>1920</v>
      </c>
      <c r="Y12" s="126" t="s">
        <v>319</v>
      </c>
    </row>
    <row r="13" spans="1:25" ht="14.25" x14ac:dyDescent="0.15">
      <c r="A13" s="22">
        <v>2</v>
      </c>
      <c r="B13" s="38" t="s">
        <v>94</v>
      </c>
      <c r="C13" s="95">
        <f>(75*0.96)</f>
        <v>72</v>
      </c>
      <c r="D13" s="95">
        <f>(225*0.96)</f>
        <v>216</v>
      </c>
      <c r="E13" s="126" t="s">
        <v>319</v>
      </c>
      <c r="F13" s="127">
        <f t="shared" ref="F13:F15" si="0">(300*0.96)</f>
        <v>288</v>
      </c>
      <c r="G13" s="95">
        <f>(90*0.96)</f>
        <v>86.399999999999991</v>
      </c>
      <c r="H13" s="95">
        <f>(810*0.96)</f>
        <v>777.6</v>
      </c>
      <c r="I13" s="126" t="s">
        <v>319</v>
      </c>
      <c r="K13" s="114">
        <v>175</v>
      </c>
      <c r="L13" s="114">
        <v>210</v>
      </c>
      <c r="M13" s="126">
        <v>0</v>
      </c>
      <c r="N13" s="114">
        <v>325</v>
      </c>
      <c r="O13" s="114">
        <v>95</v>
      </c>
      <c r="P13" s="114">
        <v>875</v>
      </c>
      <c r="Q13" s="126" t="s">
        <v>319</v>
      </c>
      <c r="S13" s="122">
        <v>360</v>
      </c>
      <c r="T13" s="122">
        <v>120</v>
      </c>
      <c r="U13" s="126" t="s">
        <v>319</v>
      </c>
      <c r="V13" s="122">
        <v>500</v>
      </c>
      <c r="W13" s="122">
        <v>100</v>
      </c>
      <c r="X13" s="122">
        <v>5760</v>
      </c>
      <c r="Y13" s="126" t="s">
        <v>319</v>
      </c>
    </row>
    <row r="14" spans="1:25" ht="14.25" x14ac:dyDescent="0.15">
      <c r="A14" s="22">
        <v>3</v>
      </c>
      <c r="B14" s="38" t="s">
        <v>95</v>
      </c>
      <c r="C14" s="127">
        <f t="shared" ref="C14:C15" si="1">(75*0.96)</f>
        <v>72</v>
      </c>
      <c r="D14" s="127">
        <f t="shared" ref="D14:D15" si="2">(225*0.96)</f>
        <v>216</v>
      </c>
      <c r="E14" s="126" t="s">
        <v>319</v>
      </c>
      <c r="F14" s="127">
        <f t="shared" si="0"/>
        <v>288</v>
      </c>
      <c r="G14" s="127">
        <f t="shared" ref="G14" si="3">(225*0.96)</f>
        <v>216</v>
      </c>
      <c r="H14" s="95">
        <f>(1760*0.96)</f>
        <v>1689.6</v>
      </c>
      <c r="I14" s="126" t="s">
        <v>319</v>
      </c>
      <c r="K14" s="114">
        <v>200</v>
      </c>
      <c r="L14" s="114">
        <v>210</v>
      </c>
      <c r="M14" s="126">
        <v>0</v>
      </c>
      <c r="N14" s="114">
        <v>325</v>
      </c>
      <c r="O14" s="114">
        <v>95</v>
      </c>
      <c r="P14" s="114">
        <v>1760</v>
      </c>
      <c r="Q14" s="126" t="s">
        <v>319</v>
      </c>
      <c r="S14" s="122">
        <v>360</v>
      </c>
      <c r="T14" s="122">
        <v>120</v>
      </c>
      <c r="U14" s="126" t="s">
        <v>319</v>
      </c>
      <c r="V14" s="122">
        <v>500</v>
      </c>
      <c r="W14" s="122">
        <v>100</v>
      </c>
      <c r="X14" s="122">
        <v>1440</v>
      </c>
      <c r="Y14" s="126" t="s">
        <v>319</v>
      </c>
    </row>
    <row r="15" spans="1:25" ht="14.25" x14ac:dyDescent="0.15">
      <c r="A15" s="22">
        <v>4</v>
      </c>
      <c r="B15" s="38" t="s">
        <v>96</v>
      </c>
      <c r="C15" s="127">
        <f t="shared" si="1"/>
        <v>72</v>
      </c>
      <c r="D15" s="127">
        <f t="shared" si="2"/>
        <v>216</v>
      </c>
      <c r="E15" s="126" t="s">
        <v>319</v>
      </c>
      <c r="F15" s="127">
        <f t="shared" si="0"/>
        <v>288</v>
      </c>
      <c r="G15" s="95">
        <f>(63*0.96)</f>
        <v>60.48</v>
      </c>
      <c r="H15" s="95">
        <f>(567*0.96)</f>
        <v>544.31999999999994</v>
      </c>
      <c r="I15" s="126" t="s">
        <v>319</v>
      </c>
      <c r="K15" s="114">
        <v>200</v>
      </c>
      <c r="L15" s="114">
        <v>210</v>
      </c>
      <c r="M15" s="126">
        <v>0</v>
      </c>
      <c r="N15" s="114">
        <v>325</v>
      </c>
      <c r="O15" s="114">
        <v>145</v>
      </c>
      <c r="P15" s="114">
        <v>460</v>
      </c>
      <c r="Q15" s="126" t="s">
        <v>319</v>
      </c>
      <c r="S15" s="122">
        <v>360</v>
      </c>
      <c r="T15" s="122">
        <v>120</v>
      </c>
      <c r="U15" s="126" t="s">
        <v>319</v>
      </c>
      <c r="V15" s="122">
        <v>500</v>
      </c>
      <c r="W15" s="122">
        <v>100</v>
      </c>
      <c r="X15" s="122">
        <v>1920</v>
      </c>
      <c r="Y15" s="122">
        <v>60</v>
      </c>
    </row>
    <row r="16" spans="1:25" ht="14.25" x14ac:dyDescent="0.15">
      <c r="A16" s="22">
        <v>5</v>
      </c>
      <c r="B16" s="38" t="s">
        <v>97</v>
      </c>
      <c r="C16" s="126" t="s">
        <v>319</v>
      </c>
      <c r="D16" s="126" t="s">
        <v>319</v>
      </c>
      <c r="E16" s="126" t="s">
        <v>319</v>
      </c>
      <c r="F16" s="126" t="s">
        <v>319</v>
      </c>
      <c r="G16" s="95">
        <f>(36*0.96)</f>
        <v>34.56</v>
      </c>
      <c r="H16" s="95">
        <f>(324*0.96)</f>
        <v>311.03999999999996</v>
      </c>
      <c r="I16" s="126" t="s">
        <v>319</v>
      </c>
      <c r="K16" s="114" t="s">
        <v>319</v>
      </c>
      <c r="L16" s="114" t="s">
        <v>319</v>
      </c>
      <c r="M16" s="114" t="s">
        <v>319</v>
      </c>
      <c r="N16" s="114" t="s">
        <v>319</v>
      </c>
      <c r="O16" s="114">
        <v>75</v>
      </c>
      <c r="P16" s="114">
        <v>240</v>
      </c>
      <c r="Q16" s="126" t="s">
        <v>319</v>
      </c>
      <c r="S16" s="122" t="s">
        <v>319</v>
      </c>
      <c r="T16" s="122" t="s">
        <v>319</v>
      </c>
      <c r="U16" s="126" t="s">
        <v>319</v>
      </c>
      <c r="V16" s="126" t="s">
        <v>319</v>
      </c>
      <c r="W16" s="122">
        <v>100</v>
      </c>
      <c r="X16" s="122">
        <v>120</v>
      </c>
      <c r="Y16" s="126" t="s">
        <v>319</v>
      </c>
    </row>
    <row r="17" spans="1:25" ht="14.25" x14ac:dyDescent="0.15">
      <c r="A17" s="22">
        <v>6</v>
      </c>
      <c r="B17" s="38" t="s">
        <v>98</v>
      </c>
      <c r="C17" s="126" t="s">
        <v>319</v>
      </c>
      <c r="D17" s="126" t="s">
        <v>319</v>
      </c>
      <c r="E17" s="126" t="s">
        <v>319</v>
      </c>
      <c r="F17" s="126" t="s">
        <v>319</v>
      </c>
      <c r="G17" s="127">
        <f>(36*0.96)</f>
        <v>34.56</v>
      </c>
      <c r="H17" s="127">
        <f>(324*0.96)</f>
        <v>311.03999999999996</v>
      </c>
      <c r="I17" s="126" t="s">
        <v>319</v>
      </c>
      <c r="K17" s="114" t="s">
        <v>319</v>
      </c>
      <c r="L17" s="114" t="s">
        <v>319</v>
      </c>
      <c r="M17" s="114" t="s">
        <v>319</v>
      </c>
      <c r="N17" s="114" t="s">
        <v>319</v>
      </c>
      <c r="O17" s="114">
        <v>75</v>
      </c>
      <c r="P17" s="114">
        <v>185</v>
      </c>
      <c r="Q17" s="126" t="s">
        <v>319</v>
      </c>
      <c r="S17" s="122" t="s">
        <v>319</v>
      </c>
      <c r="T17" s="122" t="s">
        <v>319</v>
      </c>
      <c r="U17" s="126" t="s">
        <v>319</v>
      </c>
      <c r="V17" s="126" t="s">
        <v>319</v>
      </c>
      <c r="W17" s="122">
        <v>100</v>
      </c>
      <c r="X17" s="122">
        <v>120</v>
      </c>
      <c r="Y17" s="126" t="s">
        <v>319</v>
      </c>
    </row>
    <row r="18" spans="1:25" ht="14.25" x14ac:dyDescent="0.15">
      <c r="A18" s="22">
        <v>7</v>
      </c>
      <c r="B18" s="38" t="s">
        <v>99</v>
      </c>
      <c r="C18" s="127">
        <f t="shared" ref="C18" si="4">(75*0.96)</f>
        <v>72</v>
      </c>
      <c r="D18" s="127">
        <f t="shared" ref="D18" si="5">(225*0.96)</f>
        <v>216</v>
      </c>
      <c r="E18" s="126" t="s">
        <v>319</v>
      </c>
      <c r="F18" s="127">
        <f t="shared" ref="F18" si="6">(300*0.96)</f>
        <v>288</v>
      </c>
      <c r="G18" s="95">
        <f>(58*0.96)</f>
        <v>55.68</v>
      </c>
      <c r="H18" s="95">
        <f>(427*0.96)</f>
        <v>409.91999999999996</v>
      </c>
      <c r="I18" s="126" t="s">
        <v>319</v>
      </c>
      <c r="K18" s="114">
        <v>200</v>
      </c>
      <c r="L18" s="114">
        <v>210</v>
      </c>
      <c r="M18" s="114">
        <v>100</v>
      </c>
      <c r="N18" s="114">
        <v>325</v>
      </c>
      <c r="O18" s="114">
        <v>190</v>
      </c>
      <c r="P18" s="114">
        <v>245</v>
      </c>
      <c r="Q18" s="126" t="s">
        <v>319</v>
      </c>
      <c r="S18" s="122">
        <v>540</v>
      </c>
      <c r="T18" s="122">
        <v>180</v>
      </c>
      <c r="U18" s="126" t="s">
        <v>319</v>
      </c>
      <c r="V18" s="122">
        <v>500</v>
      </c>
      <c r="W18" s="122">
        <v>30</v>
      </c>
      <c r="X18" s="122">
        <v>60</v>
      </c>
      <c r="Y18" s="126" t="s">
        <v>319</v>
      </c>
    </row>
    <row r="19" spans="1:25" ht="14.25" x14ac:dyDescent="0.15">
      <c r="A19" s="22">
        <v>8</v>
      </c>
      <c r="B19" s="38" t="s">
        <v>100</v>
      </c>
      <c r="C19" s="126" t="s">
        <v>319</v>
      </c>
      <c r="D19" s="126" t="s">
        <v>319</v>
      </c>
      <c r="E19" s="126" t="s">
        <v>319</v>
      </c>
      <c r="F19" s="126" t="s">
        <v>319</v>
      </c>
      <c r="G19" s="127">
        <f>(58*0.96)</f>
        <v>55.68</v>
      </c>
      <c r="H19" s="95">
        <f>(225*0.96)</f>
        <v>216</v>
      </c>
      <c r="I19" s="126" t="s">
        <v>319</v>
      </c>
      <c r="K19" s="114" t="s">
        <v>319</v>
      </c>
      <c r="L19" s="114" t="s">
        <v>319</v>
      </c>
      <c r="M19" s="114" t="s">
        <v>319</v>
      </c>
      <c r="N19" s="114" t="s">
        <v>319</v>
      </c>
      <c r="O19" s="114">
        <v>75</v>
      </c>
      <c r="P19" s="114">
        <v>225</v>
      </c>
      <c r="Q19" s="126" t="s">
        <v>319</v>
      </c>
      <c r="S19" s="122" t="s">
        <v>319</v>
      </c>
      <c r="T19" s="122" t="s">
        <v>319</v>
      </c>
      <c r="U19" s="126" t="s">
        <v>319</v>
      </c>
      <c r="V19" s="126" t="s">
        <v>319</v>
      </c>
      <c r="W19" s="122">
        <v>75</v>
      </c>
      <c r="X19" s="122">
        <v>120</v>
      </c>
      <c r="Y19" s="126" t="s">
        <v>319</v>
      </c>
    </row>
    <row r="20" spans="1:25" ht="14.25" x14ac:dyDescent="0.15">
      <c r="A20" s="22">
        <v>9</v>
      </c>
      <c r="B20" s="38" t="s">
        <v>101</v>
      </c>
      <c r="C20" s="126" t="s">
        <v>319</v>
      </c>
      <c r="D20" s="126" t="s">
        <v>319</v>
      </c>
      <c r="E20" s="126" t="s">
        <v>319</v>
      </c>
      <c r="F20" s="126" t="s">
        <v>319</v>
      </c>
      <c r="G20" s="95">
        <f>(76*0.96)</f>
        <v>72.959999999999994</v>
      </c>
      <c r="H20" s="95">
        <f>(600*0.96)</f>
        <v>576</v>
      </c>
      <c r="I20" s="126" t="s">
        <v>319</v>
      </c>
      <c r="K20" s="114" t="s">
        <v>319</v>
      </c>
      <c r="L20" s="114" t="s">
        <v>319</v>
      </c>
      <c r="M20" s="114" t="s">
        <v>319</v>
      </c>
      <c r="N20" s="114" t="s">
        <v>319</v>
      </c>
      <c r="O20" s="114">
        <v>90</v>
      </c>
      <c r="P20" s="114">
        <v>400</v>
      </c>
      <c r="Q20" s="126" t="s">
        <v>319</v>
      </c>
      <c r="S20" s="122" t="s">
        <v>319</v>
      </c>
      <c r="T20" s="122" t="s">
        <v>319</v>
      </c>
      <c r="U20" s="126" t="s">
        <v>319</v>
      </c>
      <c r="V20" s="126" t="s">
        <v>319</v>
      </c>
      <c r="W20" s="122">
        <v>100</v>
      </c>
      <c r="X20" s="122">
        <v>240</v>
      </c>
      <c r="Y20" s="126" t="s">
        <v>319</v>
      </c>
    </row>
    <row r="21" spans="1:25" ht="14.25" x14ac:dyDescent="0.15">
      <c r="A21" s="22">
        <v>10</v>
      </c>
      <c r="B21" s="38" t="s">
        <v>102</v>
      </c>
      <c r="C21" s="126" t="s">
        <v>319</v>
      </c>
      <c r="D21" s="126" t="s">
        <v>319</v>
      </c>
      <c r="E21" s="126" t="s">
        <v>319</v>
      </c>
      <c r="F21" s="126" t="s">
        <v>319</v>
      </c>
      <c r="G21" s="95">
        <f>(31*0.96)</f>
        <v>29.759999999999998</v>
      </c>
      <c r="H21" s="95">
        <f>(284*0.96)</f>
        <v>272.64</v>
      </c>
      <c r="I21" s="126" t="s">
        <v>319</v>
      </c>
      <c r="K21" s="114" t="s">
        <v>319</v>
      </c>
      <c r="L21" s="114" t="s">
        <v>319</v>
      </c>
      <c r="M21" s="114" t="s">
        <v>319</v>
      </c>
      <c r="N21" s="114" t="s">
        <v>319</v>
      </c>
      <c r="O21" s="114">
        <v>75</v>
      </c>
      <c r="P21" s="114">
        <v>75</v>
      </c>
      <c r="Q21" s="126" t="s">
        <v>319</v>
      </c>
      <c r="S21" s="122" t="s">
        <v>319</v>
      </c>
      <c r="T21" s="122" t="s">
        <v>319</v>
      </c>
      <c r="U21" s="126" t="s">
        <v>319</v>
      </c>
      <c r="V21" s="126" t="s">
        <v>319</v>
      </c>
      <c r="W21" s="122">
        <v>30</v>
      </c>
      <c r="X21" s="122">
        <v>30</v>
      </c>
      <c r="Y21" s="126" t="s">
        <v>319</v>
      </c>
    </row>
    <row r="22" spans="1:25" ht="14.25" x14ac:dyDescent="0.15">
      <c r="A22" s="22">
        <v>11</v>
      </c>
      <c r="B22" s="38" t="s">
        <v>103</v>
      </c>
      <c r="C22" s="127">
        <f t="shared" ref="C22" si="7">(75*0.96)</f>
        <v>72</v>
      </c>
      <c r="D22" s="127">
        <f t="shared" ref="D22" si="8">(225*0.96)</f>
        <v>216</v>
      </c>
      <c r="E22" s="126" t="s">
        <v>319</v>
      </c>
      <c r="F22" s="127">
        <f t="shared" ref="F22" si="9">(300*0.96)</f>
        <v>288</v>
      </c>
      <c r="G22" s="95">
        <f>(63*0.96)</f>
        <v>60.48</v>
      </c>
      <c r="H22" s="95">
        <f>(567*0.96)</f>
        <v>544.31999999999994</v>
      </c>
      <c r="I22" s="126" t="s">
        <v>319</v>
      </c>
      <c r="K22" s="114">
        <v>200</v>
      </c>
      <c r="L22" s="114">
        <v>400</v>
      </c>
      <c r="M22" s="126" t="s">
        <v>319</v>
      </c>
      <c r="N22" s="114">
        <v>325</v>
      </c>
      <c r="O22" s="114">
        <v>95</v>
      </c>
      <c r="P22" s="114">
        <v>475</v>
      </c>
      <c r="Q22" s="126" t="s">
        <v>319</v>
      </c>
      <c r="S22" s="122">
        <v>360</v>
      </c>
      <c r="T22" s="122">
        <v>120</v>
      </c>
      <c r="U22" s="126" t="s">
        <v>319</v>
      </c>
      <c r="V22" s="122">
        <v>500</v>
      </c>
      <c r="W22" s="122">
        <v>100</v>
      </c>
      <c r="X22" s="122">
        <v>240</v>
      </c>
      <c r="Y22" s="126" t="s">
        <v>319</v>
      </c>
    </row>
    <row r="23" spans="1:25" ht="28.5" x14ac:dyDescent="0.15">
      <c r="A23" s="22">
        <v>12</v>
      </c>
      <c r="B23" s="38" t="s">
        <v>104</v>
      </c>
      <c r="C23" s="126" t="s">
        <v>319</v>
      </c>
      <c r="D23" s="126" t="s">
        <v>319</v>
      </c>
      <c r="E23" s="126" t="s">
        <v>319</v>
      </c>
      <c r="F23" s="126" t="s">
        <v>319</v>
      </c>
      <c r="G23" s="95">
        <f>(72*0.96)</f>
        <v>69.12</v>
      </c>
      <c r="H23" s="95">
        <f>(648*0.96)</f>
        <v>622.07999999999993</v>
      </c>
      <c r="I23" s="126" t="s">
        <v>319</v>
      </c>
      <c r="K23" s="114">
        <v>150</v>
      </c>
      <c r="L23" s="114">
        <v>210</v>
      </c>
      <c r="M23" s="126" t="s">
        <v>319</v>
      </c>
      <c r="N23" s="114">
        <v>325</v>
      </c>
      <c r="O23" s="114">
        <v>115</v>
      </c>
      <c r="P23" s="114">
        <v>450</v>
      </c>
      <c r="Q23" s="126" t="s">
        <v>319</v>
      </c>
      <c r="S23" s="122">
        <v>360</v>
      </c>
      <c r="T23" s="122">
        <v>120</v>
      </c>
      <c r="U23" s="126" t="s">
        <v>319</v>
      </c>
      <c r="V23" s="122">
        <v>500</v>
      </c>
      <c r="W23" s="122">
        <v>100</v>
      </c>
      <c r="X23" s="122">
        <v>240</v>
      </c>
      <c r="Y23" s="126" t="s">
        <v>319</v>
      </c>
    </row>
    <row r="24" spans="1:25" ht="14.25" x14ac:dyDescent="0.15">
      <c r="A24" s="22">
        <v>13</v>
      </c>
      <c r="B24" s="38" t="s">
        <v>105</v>
      </c>
      <c r="C24" s="127">
        <f t="shared" ref="C24" si="10">(75*0.96)</f>
        <v>72</v>
      </c>
      <c r="D24" s="127">
        <f t="shared" ref="D24" si="11">(225*0.96)</f>
        <v>216</v>
      </c>
      <c r="E24" s="126" t="s">
        <v>319</v>
      </c>
      <c r="F24" s="127">
        <f t="shared" ref="F24" si="12">(300*0.96)</f>
        <v>288</v>
      </c>
      <c r="G24" s="95">
        <f>(58*0.96)</f>
        <v>55.68</v>
      </c>
      <c r="H24" s="95">
        <f>(527*0.96)</f>
        <v>505.91999999999996</v>
      </c>
      <c r="I24" s="126" t="s">
        <v>319</v>
      </c>
      <c r="K24" s="114">
        <v>150</v>
      </c>
      <c r="L24" s="114">
        <v>210</v>
      </c>
      <c r="M24" s="126" t="s">
        <v>319</v>
      </c>
      <c r="N24" s="114">
        <v>325</v>
      </c>
      <c r="O24" s="114">
        <v>195</v>
      </c>
      <c r="P24" s="114">
        <v>450</v>
      </c>
      <c r="Q24" s="126" t="s">
        <v>319</v>
      </c>
      <c r="S24" s="122">
        <v>360</v>
      </c>
      <c r="T24" s="122">
        <v>120</v>
      </c>
      <c r="U24" s="126" t="s">
        <v>319</v>
      </c>
      <c r="V24" s="122">
        <v>500</v>
      </c>
      <c r="W24" s="122">
        <v>100</v>
      </c>
      <c r="X24" s="122">
        <v>240</v>
      </c>
      <c r="Y24" s="122">
        <v>60</v>
      </c>
    </row>
    <row r="25" spans="1:25" ht="14.25" x14ac:dyDescent="0.15">
      <c r="A25" s="22">
        <v>14</v>
      </c>
      <c r="B25" s="38" t="s">
        <v>106</v>
      </c>
      <c r="C25" s="126" t="s">
        <v>319</v>
      </c>
      <c r="D25" s="126" t="s">
        <v>319</v>
      </c>
      <c r="E25" s="126" t="s">
        <v>319</v>
      </c>
      <c r="F25" s="126" t="s">
        <v>319</v>
      </c>
      <c r="G25" s="95">
        <f>(36*0.96)</f>
        <v>34.56</v>
      </c>
      <c r="H25" s="95">
        <f>(324*0.96)</f>
        <v>311.03999999999996</v>
      </c>
      <c r="I25" s="126" t="s">
        <v>319</v>
      </c>
      <c r="K25" s="114">
        <v>0</v>
      </c>
      <c r="L25" s="114">
        <v>0</v>
      </c>
      <c r="M25" s="126" t="s">
        <v>319</v>
      </c>
      <c r="N25" s="126" t="s">
        <v>319</v>
      </c>
      <c r="O25" s="114">
        <v>75</v>
      </c>
      <c r="P25" s="114">
        <v>105</v>
      </c>
      <c r="Q25" s="126" t="s">
        <v>319</v>
      </c>
      <c r="S25" s="122" t="s">
        <v>319</v>
      </c>
      <c r="T25" s="122" t="s">
        <v>319</v>
      </c>
      <c r="U25" s="126" t="s">
        <v>319</v>
      </c>
      <c r="V25" s="126" t="s">
        <v>319</v>
      </c>
      <c r="W25" s="122">
        <v>30</v>
      </c>
      <c r="X25" s="122">
        <v>30</v>
      </c>
      <c r="Y25" s="126" t="s">
        <v>319</v>
      </c>
    </row>
    <row r="26" spans="1:25" ht="14.25" x14ac:dyDescent="0.15">
      <c r="A26" s="22">
        <v>15</v>
      </c>
      <c r="B26" s="38" t="s">
        <v>107</v>
      </c>
      <c r="C26" s="126" t="s">
        <v>319</v>
      </c>
      <c r="D26" s="126" t="s">
        <v>319</v>
      </c>
      <c r="E26" s="126" t="s">
        <v>319</v>
      </c>
      <c r="F26" s="126" t="s">
        <v>319</v>
      </c>
      <c r="G26" s="95">
        <f>(81*0.96)</f>
        <v>77.759999999999991</v>
      </c>
      <c r="H26" s="95">
        <f>(729*0.96)</f>
        <v>699.83999999999992</v>
      </c>
      <c r="I26" s="126" t="s">
        <v>319</v>
      </c>
      <c r="K26" s="114">
        <v>200</v>
      </c>
      <c r="L26" s="114">
        <v>210</v>
      </c>
      <c r="M26" s="126" t="s">
        <v>319</v>
      </c>
      <c r="N26" s="114">
        <v>325</v>
      </c>
      <c r="O26" s="114">
        <v>110</v>
      </c>
      <c r="P26" s="114">
        <v>680</v>
      </c>
      <c r="Q26" s="126" t="s">
        <v>319</v>
      </c>
      <c r="S26" s="122">
        <v>360</v>
      </c>
      <c r="T26" s="122">
        <v>120</v>
      </c>
      <c r="U26" s="126" t="s">
        <v>319</v>
      </c>
      <c r="V26" s="122">
        <v>500</v>
      </c>
      <c r="W26" s="122">
        <v>100</v>
      </c>
      <c r="X26" s="122">
        <v>960</v>
      </c>
      <c r="Y26" s="122">
        <v>60</v>
      </c>
    </row>
    <row r="27" spans="1:25" ht="14.25" x14ac:dyDescent="0.2">
      <c r="A27" s="22">
        <v>16</v>
      </c>
      <c r="B27" s="39" t="s">
        <v>108</v>
      </c>
      <c r="C27" s="126" t="s">
        <v>319</v>
      </c>
      <c r="D27" s="126" t="s">
        <v>319</v>
      </c>
      <c r="E27" s="126" t="s">
        <v>319</v>
      </c>
      <c r="F27" s="126" t="s">
        <v>319</v>
      </c>
      <c r="G27" s="127">
        <f>(36*0.96)</f>
        <v>34.56</v>
      </c>
      <c r="H27" s="95">
        <f>(324*0.96)</f>
        <v>311.03999999999996</v>
      </c>
      <c r="I27" s="126" t="s">
        <v>319</v>
      </c>
      <c r="K27" s="114" t="s">
        <v>319</v>
      </c>
      <c r="L27" s="114" t="s">
        <v>319</v>
      </c>
      <c r="M27" s="114" t="s">
        <v>319</v>
      </c>
      <c r="N27" s="114" t="s">
        <v>319</v>
      </c>
      <c r="O27" s="114">
        <v>85</v>
      </c>
      <c r="P27" s="114">
        <v>100</v>
      </c>
      <c r="Q27" s="126" t="s">
        <v>319</v>
      </c>
      <c r="S27" s="122" t="s">
        <v>319</v>
      </c>
      <c r="T27" s="122" t="s">
        <v>319</v>
      </c>
      <c r="U27" s="126" t="s">
        <v>319</v>
      </c>
      <c r="V27" s="126" t="s">
        <v>319</v>
      </c>
      <c r="W27" s="122">
        <v>30</v>
      </c>
      <c r="X27" s="122">
        <v>30</v>
      </c>
      <c r="Y27" s="122">
        <v>60</v>
      </c>
    </row>
    <row r="28" spans="1:25" ht="14.25" x14ac:dyDescent="0.2">
      <c r="A28" s="22">
        <v>17</v>
      </c>
      <c r="B28" s="39" t="s">
        <v>109</v>
      </c>
      <c r="C28" s="126" t="s">
        <v>319</v>
      </c>
      <c r="D28" s="126" t="s">
        <v>319</v>
      </c>
      <c r="E28" s="126" t="s">
        <v>319</v>
      </c>
      <c r="F28" s="126" t="s">
        <v>319</v>
      </c>
      <c r="G28" s="95">
        <f>(54*0.96)</f>
        <v>51.839999999999996</v>
      </c>
      <c r="H28" s="95">
        <f>(486*0.96)</f>
        <v>466.56</v>
      </c>
      <c r="I28" s="126" t="s">
        <v>319</v>
      </c>
      <c r="K28" s="114" t="s">
        <v>319</v>
      </c>
      <c r="L28" s="114" t="s">
        <v>319</v>
      </c>
      <c r="M28" s="114" t="s">
        <v>319</v>
      </c>
      <c r="N28" s="114" t="s">
        <v>319</v>
      </c>
      <c r="O28" s="114">
        <v>90</v>
      </c>
      <c r="P28" s="114">
        <v>215</v>
      </c>
      <c r="Q28" s="126" t="s">
        <v>319</v>
      </c>
      <c r="S28" s="122" t="s">
        <v>319</v>
      </c>
      <c r="T28" s="122" t="s">
        <v>319</v>
      </c>
      <c r="U28" s="126" t="s">
        <v>319</v>
      </c>
      <c r="V28" s="126" t="s">
        <v>319</v>
      </c>
      <c r="W28" s="122">
        <v>100</v>
      </c>
      <c r="X28" s="122">
        <v>120</v>
      </c>
      <c r="Y28" s="126" t="s">
        <v>319</v>
      </c>
    </row>
    <row r="29" spans="1:25" ht="14.25" x14ac:dyDescent="0.2">
      <c r="A29" s="22">
        <v>18</v>
      </c>
      <c r="B29" s="39" t="s">
        <v>110</v>
      </c>
      <c r="C29" s="126" t="s">
        <v>319</v>
      </c>
      <c r="D29" s="126" t="s">
        <v>319</v>
      </c>
      <c r="E29" s="126" t="s">
        <v>319</v>
      </c>
      <c r="F29" s="126" t="s">
        <v>319</v>
      </c>
      <c r="G29" s="127">
        <f t="shared" ref="G29:G34" si="13">(54*0.96)</f>
        <v>51.839999999999996</v>
      </c>
      <c r="H29" s="127">
        <f t="shared" ref="H29:H34" si="14">(486*0.96)</f>
        <v>466.56</v>
      </c>
      <c r="I29" s="126" t="s">
        <v>319</v>
      </c>
      <c r="K29" s="114" t="s">
        <v>319</v>
      </c>
      <c r="L29" s="114" t="s">
        <v>319</v>
      </c>
      <c r="M29" s="114" t="s">
        <v>319</v>
      </c>
      <c r="N29" s="114" t="s">
        <v>319</v>
      </c>
      <c r="O29" s="114">
        <v>85</v>
      </c>
      <c r="P29" s="114">
        <v>120</v>
      </c>
      <c r="Q29" s="126" t="s">
        <v>319</v>
      </c>
      <c r="S29" s="122" t="s">
        <v>319</v>
      </c>
      <c r="T29" s="122" t="s">
        <v>319</v>
      </c>
      <c r="U29" s="126" t="s">
        <v>319</v>
      </c>
      <c r="V29" s="126" t="s">
        <v>319</v>
      </c>
      <c r="W29" s="122">
        <v>30</v>
      </c>
      <c r="X29" s="122">
        <v>60</v>
      </c>
      <c r="Y29" s="126" t="s">
        <v>319</v>
      </c>
    </row>
    <row r="30" spans="1:25" ht="14.25" x14ac:dyDescent="0.2">
      <c r="A30" s="22">
        <v>19</v>
      </c>
      <c r="B30" s="39" t="s">
        <v>111</v>
      </c>
      <c r="C30" s="126" t="s">
        <v>319</v>
      </c>
      <c r="D30" s="126" t="s">
        <v>319</v>
      </c>
      <c r="E30" s="126" t="s">
        <v>319</v>
      </c>
      <c r="F30" s="126" t="s">
        <v>319</v>
      </c>
      <c r="G30" s="127">
        <f t="shared" si="13"/>
        <v>51.839999999999996</v>
      </c>
      <c r="H30" s="127">
        <f t="shared" si="14"/>
        <v>466.56</v>
      </c>
      <c r="I30" s="126" t="s">
        <v>319</v>
      </c>
      <c r="K30" s="114" t="s">
        <v>319</v>
      </c>
      <c r="L30" s="114" t="s">
        <v>319</v>
      </c>
      <c r="M30" s="114" t="s">
        <v>319</v>
      </c>
      <c r="N30" s="114" t="s">
        <v>319</v>
      </c>
      <c r="O30" s="114">
        <v>85</v>
      </c>
      <c r="P30" s="114">
        <v>140</v>
      </c>
      <c r="Q30" s="126" t="s">
        <v>319</v>
      </c>
      <c r="S30" s="122" t="s">
        <v>319</v>
      </c>
      <c r="T30" s="122" t="s">
        <v>319</v>
      </c>
      <c r="U30" s="126" t="s">
        <v>319</v>
      </c>
      <c r="V30" s="126" t="s">
        <v>319</v>
      </c>
      <c r="W30" s="122">
        <v>30</v>
      </c>
      <c r="X30" s="122">
        <v>60</v>
      </c>
      <c r="Y30" s="126" t="s">
        <v>319</v>
      </c>
    </row>
    <row r="31" spans="1:25" ht="14.25" x14ac:dyDescent="0.2">
      <c r="A31" s="22">
        <v>20</v>
      </c>
      <c r="B31" s="39" t="s">
        <v>112</v>
      </c>
      <c r="C31" s="126" t="s">
        <v>319</v>
      </c>
      <c r="D31" s="126" t="s">
        <v>319</v>
      </c>
      <c r="E31" s="126" t="s">
        <v>319</v>
      </c>
      <c r="F31" s="126" t="s">
        <v>319</v>
      </c>
      <c r="G31" s="127">
        <f t="shared" si="13"/>
        <v>51.839999999999996</v>
      </c>
      <c r="H31" s="127">
        <f t="shared" si="14"/>
        <v>466.56</v>
      </c>
      <c r="I31" s="126" t="s">
        <v>319</v>
      </c>
      <c r="K31" s="114" t="s">
        <v>319</v>
      </c>
      <c r="L31" s="114" t="s">
        <v>319</v>
      </c>
      <c r="M31" s="114" t="s">
        <v>319</v>
      </c>
      <c r="N31" s="114" t="s">
        <v>319</v>
      </c>
      <c r="O31" s="114">
        <v>90</v>
      </c>
      <c r="P31" s="114">
        <v>135</v>
      </c>
      <c r="Q31" s="126" t="s">
        <v>319</v>
      </c>
      <c r="S31" s="122" t="s">
        <v>319</v>
      </c>
      <c r="T31" s="122" t="s">
        <v>319</v>
      </c>
      <c r="U31" s="126" t="s">
        <v>319</v>
      </c>
      <c r="V31" s="126" t="s">
        <v>319</v>
      </c>
      <c r="W31" s="122">
        <v>30</v>
      </c>
      <c r="X31" s="122">
        <v>60</v>
      </c>
      <c r="Y31" s="126" t="s">
        <v>319</v>
      </c>
    </row>
    <row r="32" spans="1:25" ht="14.25" x14ac:dyDescent="0.2">
      <c r="A32" s="22">
        <v>21</v>
      </c>
      <c r="B32" s="39" t="s">
        <v>113</v>
      </c>
      <c r="C32" s="126" t="s">
        <v>319</v>
      </c>
      <c r="D32" s="126" t="s">
        <v>319</v>
      </c>
      <c r="E32" s="126" t="s">
        <v>319</v>
      </c>
      <c r="F32" s="126" t="s">
        <v>319</v>
      </c>
      <c r="G32" s="95">
        <f>(72*0.96)</f>
        <v>69.12</v>
      </c>
      <c r="H32" s="95">
        <f>(648*0.96)</f>
        <v>622.07999999999993</v>
      </c>
      <c r="I32" s="126" t="s">
        <v>319</v>
      </c>
      <c r="K32" s="114" t="s">
        <v>319</v>
      </c>
      <c r="L32" s="114" t="s">
        <v>319</v>
      </c>
      <c r="M32" s="114" t="s">
        <v>319</v>
      </c>
      <c r="N32" s="114" t="s">
        <v>319</v>
      </c>
      <c r="O32" s="114">
        <v>90</v>
      </c>
      <c r="P32" s="114">
        <v>330</v>
      </c>
      <c r="Q32" s="126" t="s">
        <v>319</v>
      </c>
      <c r="S32" s="122" t="s">
        <v>319</v>
      </c>
      <c r="T32" s="122" t="s">
        <v>319</v>
      </c>
      <c r="U32" s="126" t="s">
        <v>319</v>
      </c>
      <c r="V32" s="126" t="s">
        <v>319</v>
      </c>
      <c r="W32" s="122">
        <v>150</v>
      </c>
      <c r="X32" s="122">
        <v>240</v>
      </c>
      <c r="Y32" s="126" t="s">
        <v>319</v>
      </c>
    </row>
    <row r="33" spans="1:25" ht="14.25" x14ac:dyDescent="0.2">
      <c r="A33" s="22">
        <v>22</v>
      </c>
      <c r="B33" s="39" t="s">
        <v>114</v>
      </c>
      <c r="C33" s="126" t="s">
        <v>319</v>
      </c>
      <c r="D33" s="126" t="s">
        <v>319</v>
      </c>
      <c r="E33" s="126" t="s">
        <v>319</v>
      </c>
      <c r="F33" s="126" t="s">
        <v>319</v>
      </c>
      <c r="G33" s="127">
        <f t="shared" si="13"/>
        <v>51.839999999999996</v>
      </c>
      <c r="H33" s="127">
        <f t="shared" si="14"/>
        <v>466.56</v>
      </c>
      <c r="I33" s="126" t="s">
        <v>319</v>
      </c>
      <c r="K33" s="114" t="s">
        <v>319</v>
      </c>
      <c r="L33" s="114" t="s">
        <v>319</v>
      </c>
      <c r="M33" s="114" t="s">
        <v>319</v>
      </c>
      <c r="N33" s="114" t="s">
        <v>319</v>
      </c>
      <c r="O33" s="114">
        <v>90</v>
      </c>
      <c r="P33" s="114">
        <v>205</v>
      </c>
      <c r="Q33" s="126" t="s">
        <v>319</v>
      </c>
      <c r="S33" s="122" t="s">
        <v>319</v>
      </c>
      <c r="T33" s="122" t="s">
        <v>319</v>
      </c>
      <c r="U33" s="126" t="s">
        <v>319</v>
      </c>
      <c r="V33" s="126" t="s">
        <v>319</v>
      </c>
      <c r="W33" s="122">
        <v>100</v>
      </c>
      <c r="X33" s="122">
        <v>120</v>
      </c>
      <c r="Y33" s="126" t="s">
        <v>319</v>
      </c>
    </row>
    <row r="34" spans="1:25" ht="14.25" x14ac:dyDescent="0.2">
      <c r="A34" s="22">
        <v>23</v>
      </c>
      <c r="B34" s="39" t="s">
        <v>115</v>
      </c>
      <c r="C34" s="127">
        <f t="shared" ref="C34" si="15">(75*0.96)</f>
        <v>72</v>
      </c>
      <c r="D34" s="127">
        <f t="shared" ref="D34" si="16">(225*0.96)</f>
        <v>216</v>
      </c>
      <c r="E34" s="126" t="s">
        <v>319</v>
      </c>
      <c r="F34" s="127">
        <f t="shared" ref="F34" si="17">(300*0.96)</f>
        <v>288</v>
      </c>
      <c r="G34" s="127">
        <f t="shared" si="13"/>
        <v>51.839999999999996</v>
      </c>
      <c r="H34" s="127">
        <f t="shared" si="14"/>
        <v>466.56</v>
      </c>
      <c r="I34" s="126" t="s">
        <v>319</v>
      </c>
      <c r="K34" s="114">
        <v>150</v>
      </c>
      <c r="L34" s="114">
        <v>175</v>
      </c>
      <c r="M34" s="126" t="s">
        <v>319</v>
      </c>
      <c r="N34" s="114">
        <v>325</v>
      </c>
      <c r="O34" s="114">
        <v>140</v>
      </c>
      <c r="P34" s="114">
        <v>245</v>
      </c>
      <c r="Q34" s="126" t="s">
        <v>319</v>
      </c>
      <c r="S34" s="122">
        <v>540</v>
      </c>
      <c r="T34" s="122">
        <v>180</v>
      </c>
      <c r="U34" s="126" t="s">
        <v>319</v>
      </c>
      <c r="V34" s="122">
        <v>500</v>
      </c>
      <c r="W34" s="122">
        <v>100</v>
      </c>
      <c r="X34" s="122">
        <v>240</v>
      </c>
      <c r="Y34" s="126" t="s">
        <v>319</v>
      </c>
    </row>
    <row r="35" spans="1:25" ht="28.5" x14ac:dyDescent="0.2">
      <c r="A35" s="22">
        <v>24</v>
      </c>
      <c r="B35" s="39" t="s">
        <v>116</v>
      </c>
      <c r="C35" s="126" t="s">
        <v>319</v>
      </c>
      <c r="D35" s="126" t="s">
        <v>319</v>
      </c>
      <c r="E35" s="126" t="s">
        <v>319</v>
      </c>
      <c r="F35" s="126" t="s">
        <v>319</v>
      </c>
      <c r="G35" s="95">
        <f>(45*0.96)</f>
        <v>43.199999999999996</v>
      </c>
      <c r="H35" s="127">
        <f t="shared" ref="F35:H40" si="18">(300*0.96)</f>
        <v>288</v>
      </c>
      <c r="I35" s="126" t="s">
        <v>319</v>
      </c>
      <c r="K35" s="114" t="s">
        <v>319</v>
      </c>
      <c r="L35" s="114" t="s">
        <v>319</v>
      </c>
      <c r="M35" s="114" t="s">
        <v>319</v>
      </c>
      <c r="N35" s="114" t="s">
        <v>319</v>
      </c>
      <c r="O35" s="114">
        <v>90</v>
      </c>
      <c r="P35" s="114">
        <v>165</v>
      </c>
      <c r="Q35" s="126" t="s">
        <v>319</v>
      </c>
      <c r="S35" s="122" t="s">
        <v>319</v>
      </c>
      <c r="T35" s="122" t="s">
        <v>319</v>
      </c>
      <c r="U35" s="126" t="s">
        <v>319</v>
      </c>
      <c r="V35" s="126" t="s">
        <v>319</v>
      </c>
      <c r="W35" s="122">
        <v>100</v>
      </c>
      <c r="X35" s="122">
        <v>120</v>
      </c>
      <c r="Y35" s="126" t="s">
        <v>319</v>
      </c>
    </row>
    <row r="36" spans="1:25" ht="14.25" x14ac:dyDescent="0.2">
      <c r="A36" s="22">
        <v>25</v>
      </c>
      <c r="B36" s="39" t="s">
        <v>117</v>
      </c>
      <c r="C36" s="126" t="s">
        <v>319</v>
      </c>
      <c r="D36" s="126" t="s">
        <v>319</v>
      </c>
      <c r="E36" s="126" t="s">
        <v>319</v>
      </c>
      <c r="F36" s="126" t="s">
        <v>319</v>
      </c>
      <c r="G36" s="127">
        <f>(45*0.96)</f>
        <v>43.199999999999996</v>
      </c>
      <c r="H36" s="127">
        <f t="shared" si="18"/>
        <v>288</v>
      </c>
      <c r="I36" s="126" t="s">
        <v>319</v>
      </c>
      <c r="K36" s="114" t="s">
        <v>319</v>
      </c>
      <c r="L36" s="114" t="s">
        <v>319</v>
      </c>
      <c r="M36" s="114" t="s">
        <v>319</v>
      </c>
      <c r="N36" s="114" t="s">
        <v>319</v>
      </c>
      <c r="O36" s="114">
        <v>90</v>
      </c>
      <c r="P36" s="114">
        <v>285</v>
      </c>
      <c r="Q36" s="126" t="s">
        <v>319</v>
      </c>
      <c r="S36" s="122" t="s">
        <v>319</v>
      </c>
      <c r="T36" s="122" t="s">
        <v>319</v>
      </c>
      <c r="U36" s="126" t="s">
        <v>319</v>
      </c>
      <c r="V36" s="126" t="s">
        <v>319</v>
      </c>
      <c r="W36" s="122">
        <v>150</v>
      </c>
      <c r="X36" s="122">
        <v>240</v>
      </c>
      <c r="Y36" s="126" t="s">
        <v>319</v>
      </c>
    </row>
    <row r="37" spans="1:25" ht="14.25" x14ac:dyDescent="0.15">
      <c r="A37" s="22">
        <v>26</v>
      </c>
      <c r="B37" s="38" t="s">
        <v>118</v>
      </c>
      <c r="C37" s="95">
        <f>(150*0.96)</f>
        <v>144</v>
      </c>
      <c r="D37" s="95">
        <f>(450*0.96)</f>
        <v>432</v>
      </c>
      <c r="E37" s="126" t="s">
        <v>319</v>
      </c>
      <c r="F37" s="127">
        <f t="shared" si="18"/>
        <v>288</v>
      </c>
      <c r="G37" s="95">
        <f>(90*0.96)</f>
        <v>86.399999999999991</v>
      </c>
      <c r="H37" s="95">
        <f>(810*0.96)</f>
        <v>777.6</v>
      </c>
      <c r="I37" s="126" t="s">
        <v>319</v>
      </c>
      <c r="K37" s="114">
        <v>200</v>
      </c>
      <c r="L37" s="114">
        <v>450</v>
      </c>
      <c r="M37" s="126" t="s">
        <v>319</v>
      </c>
      <c r="N37" s="114">
        <v>325</v>
      </c>
      <c r="O37" s="114">
        <v>130</v>
      </c>
      <c r="P37" s="114">
        <v>800</v>
      </c>
      <c r="Q37" s="126" t="s">
        <v>319</v>
      </c>
      <c r="S37" s="122">
        <v>540</v>
      </c>
      <c r="T37" s="122">
        <v>180</v>
      </c>
      <c r="U37" s="126" t="s">
        <v>319</v>
      </c>
      <c r="V37" s="122">
        <v>500</v>
      </c>
      <c r="W37" s="122">
        <v>100</v>
      </c>
      <c r="X37" s="122">
        <v>480</v>
      </c>
      <c r="Y37" s="126" t="s">
        <v>319</v>
      </c>
    </row>
    <row r="38" spans="1:25" ht="19.350000000000001" customHeight="1" x14ac:dyDescent="0.15">
      <c r="A38" s="22">
        <v>27</v>
      </c>
      <c r="B38" s="38" t="s">
        <v>119</v>
      </c>
      <c r="C38" s="95">
        <f>(200*0.96)</f>
        <v>192</v>
      </c>
      <c r="D38" s="95">
        <f>(600*0.96)</f>
        <v>576</v>
      </c>
      <c r="E38" s="126" t="s">
        <v>319</v>
      </c>
      <c r="F38" s="127">
        <f t="shared" si="18"/>
        <v>288</v>
      </c>
      <c r="G38" s="95">
        <f>(58*0.96)</f>
        <v>55.68</v>
      </c>
      <c r="H38" s="95">
        <f>(527*0.96)</f>
        <v>505.91999999999996</v>
      </c>
      <c r="I38" s="126" t="s">
        <v>319</v>
      </c>
      <c r="K38" s="114">
        <v>200</v>
      </c>
      <c r="L38" s="114">
        <v>376</v>
      </c>
      <c r="M38" s="126" t="s">
        <v>319</v>
      </c>
      <c r="N38" s="114">
        <v>325</v>
      </c>
      <c r="O38" s="114">
        <v>150</v>
      </c>
      <c r="P38" s="114">
        <v>375</v>
      </c>
      <c r="Q38" s="126" t="s">
        <v>319</v>
      </c>
      <c r="S38" s="122">
        <v>720</v>
      </c>
      <c r="T38" s="122">
        <v>240</v>
      </c>
      <c r="U38" s="126" t="s">
        <v>319</v>
      </c>
      <c r="V38" s="122">
        <v>500</v>
      </c>
      <c r="W38" s="122">
        <v>100</v>
      </c>
      <c r="X38" s="122">
        <v>360</v>
      </c>
      <c r="Y38" s="126" t="s">
        <v>319</v>
      </c>
    </row>
    <row r="39" spans="1:25" ht="14.25" x14ac:dyDescent="0.15">
      <c r="A39" s="22">
        <v>28</v>
      </c>
      <c r="B39" s="38" t="s">
        <v>120</v>
      </c>
      <c r="C39" s="95">
        <f>(125*0.96)</f>
        <v>120</v>
      </c>
      <c r="D39" s="95">
        <f>(375*0.96)</f>
        <v>360</v>
      </c>
      <c r="E39" s="126" t="s">
        <v>319</v>
      </c>
      <c r="F39" s="127">
        <f t="shared" si="18"/>
        <v>288</v>
      </c>
      <c r="G39" s="95">
        <f>(135*0.96)</f>
        <v>129.6</v>
      </c>
      <c r="H39" s="95">
        <f>(1215*0.96)</f>
        <v>1166.3999999999999</v>
      </c>
      <c r="I39" s="126" t="s">
        <v>319</v>
      </c>
      <c r="K39" s="114">
        <v>200</v>
      </c>
      <c r="L39" s="114">
        <v>376</v>
      </c>
      <c r="M39" s="126" t="s">
        <v>319</v>
      </c>
      <c r="N39" s="114">
        <v>325</v>
      </c>
      <c r="O39" s="114">
        <v>205</v>
      </c>
      <c r="P39" s="114">
        <v>1545</v>
      </c>
      <c r="Q39" s="126" t="s">
        <v>319</v>
      </c>
      <c r="S39" s="122">
        <v>720</v>
      </c>
      <c r="T39" s="122">
        <v>240</v>
      </c>
      <c r="U39" s="126" t="s">
        <v>319</v>
      </c>
      <c r="V39" s="122">
        <v>500</v>
      </c>
      <c r="W39" s="122">
        <v>100</v>
      </c>
      <c r="X39" s="122">
        <v>1440</v>
      </c>
      <c r="Y39" s="122">
        <v>60</v>
      </c>
    </row>
    <row r="40" spans="1:25" ht="14.25" x14ac:dyDescent="0.15">
      <c r="A40" s="22">
        <v>29</v>
      </c>
      <c r="B40" s="38" t="s">
        <v>121</v>
      </c>
      <c r="C40" s="127">
        <f t="shared" ref="C40" si="19">(75*0.96)</f>
        <v>72</v>
      </c>
      <c r="D40" s="127">
        <f t="shared" ref="D40" si="20">(225*0.96)</f>
        <v>216</v>
      </c>
      <c r="E40" s="126" t="s">
        <v>319</v>
      </c>
      <c r="F40" s="127">
        <f t="shared" si="18"/>
        <v>288</v>
      </c>
      <c r="G40" s="127">
        <f>(135*0.96)</f>
        <v>129.6</v>
      </c>
      <c r="H40" s="127">
        <f>(1215*0.96)</f>
        <v>1166.3999999999999</v>
      </c>
      <c r="I40" s="126" t="s">
        <v>319</v>
      </c>
      <c r="K40" s="114">
        <v>200</v>
      </c>
      <c r="L40" s="114">
        <v>376</v>
      </c>
      <c r="M40" s="126" t="s">
        <v>319</v>
      </c>
      <c r="N40" s="114">
        <v>325</v>
      </c>
      <c r="O40" s="114">
        <v>270</v>
      </c>
      <c r="P40" s="114">
        <v>1350</v>
      </c>
      <c r="Q40" s="126" t="s">
        <v>319</v>
      </c>
      <c r="S40" s="122">
        <v>720</v>
      </c>
      <c r="T40" s="122">
        <v>240</v>
      </c>
      <c r="U40" s="126" t="s">
        <v>319</v>
      </c>
      <c r="V40" s="122">
        <v>500</v>
      </c>
      <c r="W40" s="122">
        <v>100</v>
      </c>
      <c r="X40" s="122">
        <v>1440</v>
      </c>
      <c r="Y40" s="122">
        <v>60</v>
      </c>
    </row>
    <row r="41" spans="1:25" ht="14.25" x14ac:dyDescent="0.15">
      <c r="A41" s="22">
        <v>30</v>
      </c>
      <c r="B41" s="38" t="s">
        <v>122</v>
      </c>
      <c r="C41" s="126" t="s">
        <v>319</v>
      </c>
      <c r="D41" s="126" t="s">
        <v>319</v>
      </c>
      <c r="E41" s="126" t="s">
        <v>319</v>
      </c>
      <c r="F41" s="126" t="s">
        <v>319</v>
      </c>
      <c r="G41" s="127">
        <f>(45*0.96)</f>
        <v>43.199999999999996</v>
      </c>
      <c r="H41" s="127">
        <f>(200*0.96)</f>
        <v>192</v>
      </c>
      <c r="I41" s="126" t="s">
        <v>319</v>
      </c>
      <c r="K41" s="114" t="s">
        <v>319</v>
      </c>
      <c r="L41" s="114" t="s">
        <v>319</v>
      </c>
      <c r="M41" s="114" t="s">
        <v>319</v>
      </c>
      <c r="N41" s="114" t="s">
        <v>319</v>
      </c>
      <c r="O41" s="114">
        <v>85</v>
      </c>
      <c r="P41" s="114">
        <v>125</v>
      </c>
      <c r="Q41" s="126" t="s">
        <v>319</v>
      </c>
      <c r="S41" s="122" t="s">
        <v>319</v>
      </c>
      <c r="T41" s="122" t="s">
        <v>319</v>
      </c>
      <c r="U41" s="126" t="s">
        <v>319</v>
      </c>
      <c r="V41" s="126" t="s">
        <v>319</v>
      </c>
      <c r="W41" s="122">
        <v>30</v>
      </c>
      <c r="X41" s="122">
        <v>60</v>
      </c>
      <c r="Y41" s="126" t="s">
        <v>319</v>
      </c>
    </row>
    <row r="42" spans="1:25" ht="14.25" x14ac:dyDescent="0.15">
      <c r="A42" s="22">
        <v>31</v>
      </c>
      <c r="B42" s="38" t="s">
        <v>123</v>
      </c>
      <c r="C42" s="126" t="s">
        <v>319</v>
      </c>
      <c r="D42" s="126" t="s">
        <v>319</v>
      </c>
      <c r="E42" s="126" t="s">
        <v>319</v>
      </c>
      <c r="F42" s="126" t="s">
        <v>319</v>
      </c>
      <c r="G42" s="127">
        <f t="shared" ref="G42:G43" si="21">(45*0.96)</f>
        <v>43.199999999999996</v>
      </c>
      <c r="H42" s="127">
        <f>(200*0.96)</f>
        <v>192</v>
      </c>
      <c r="I42" s="126" t="s">
        <v>319</v>
      </c>
      <c r="K42" s="114" t="s">
        <v>319</v>
      </c>
      <c r="L42" s="114" t="s">
        <v>319</v>
      </c>
      <c r="M42" s="114" t="s">
        <v>319</v>
      </c>
      <c r="N42" s="114" t="s">
        <v>319</v>
      </c>
      <c r="O42" s="114">
        <v>85</v>
      </c>
      <c r="P42" s="114">
        <v>145</v>
      </c>
      <c r="Q42" s="126" t="s">
        <v>319</v>
      </c>
      <c r="S42" s="122" t="s">
        <v>319</v>
      </c>
      <c r="T42" s="122" t="s">
        <v>319</v>
      </c>
      <c r="U42" s="126" t="s">
        <v>319</v>
      </c>
      <c r="V42" s="126" t="s">
        <v>319</v>
      </c>
      <c r="W42" s="122">
        <v>100</v>
      </c>
      <c r="X42" s="122">
        <v>120</v>
      </c>
      <c r="Y42" s="126" t="s">
        <v>319</v>
      </c>
    </row>
    <row r="43" spans="1:25" ht="14.25" x14ac:dyDescent="0.15">
      <c r="A43" s="22">
        <v>32</v>
      </c>
      <c r="B43" s="38" t="s">
        <v>124</v>
      </c>
      <c r="C43" s="126" t="s">
        <v>319</v>
      </c>
      <c r="D43" s="126" t="s">
        <v>319</v>
      </c>
      <c r="E43" s="126" t="s">
        <v>319</v>
      </c>
      <c r="F43" s="126" t="s">
        <v>319</v>
      </c>
      <c r="G43" s="127">
        <f t="shared" si="21"/>
        <v>43.199999999999996</v>
      </c>
      <c r="H43" s="95">
        <f>(500*0.96)</f>
        <v>480</v>
      </c>
      <c r="I43" s="126" t="s">
        <v>319</v>
      </c>
      <c r="K43" s="114" t="s">
        <v>319</v>
      </c>
      <c r="L43" s="114" t="s">
        <v>319</v>
      </c>
      <c r="M43" s="114" t="s">
        <v>319</v>
      </c>
      <c r="N43" s="114" t="s">
        <v>319</v>
      </c>
      <c r="O43" s="114">
        <v>75</v>
      </c>
      <c r="P43" s="114">
        <v>500</v>
      </c>
      <c r="Q43" s="126" t="s">
        <v>319</v>
      </c>
      <c r="S43" s="122" t="s">
        <v>319</v>
      </c>
      <c r="T43" s="122" t="s">
        <v>319</v>
      </c>
      <c r="U43" s="126" t="s">
        <v>319</v>
      </c>
      <c r="V43" s="126" t="s">
        <v>319</v>
      </c>
      <c r="W43" s="122">
        <v>100</v>
      </c>
      <c r="X43" s="122">
        <v>240</v>
      </c>
      <c r="Y43" s="126" t="s">
        <v>319</v>
      </c>
    </row>
    <row r="44" spans="1:25" ht="14.25" x14ac:dyDescent="0.15">
      <c r="A44" s="22">
        <v>33</v>
      </c>
      <c r="B44" s="38" t="s">
        <v>125</v>
      </c>
      <c r="C44" s="127">
        <f>(100*0.96)</f>
        <v>96</v>
      </c>
      <c r="D44" s="127">
        <f>(300*0.96)</f>
        <v>288</v>
      </c>
      <c r="E44" s="126" t="s">
        <v>319</v>
      </c>
      <c r="F44" s="127">
        <f t="shared" ref="F44" si="22">(300*0.96)</f>
        <v>288</v>
      </c>
      <c r="G44" s="95">
        <f>(162*0.96)</f>
        <v>155.51999999999998</v>
      </c>
      <c r="H44" s="95">
        <f>(1458*0.96)</f>
        <v>1399.6799999999998</v>
      </c>
      <c r="I44" s="126" t="s">
        <v>319</v>
      </c>
      <c r="K44" s="114">
        <v>200</v>
      </c>
      <c r="L44" s="114">
        <v>376</v>
      </c>
      <c r="M44" s="126" t="s">
        <v>319</v>
      </c>
      <c r="N44" s="114">
        <v>325</v>
      </c>
      <c r="O44" s="114">
        <v>205</v>
      </c>
      <c r="P44" s="114">
        <v>1240</v>
      </c>
      <c r="Q44" s="126" t="s">
        <v>319</v>
      </c>
      <c r="S44" s="122">
        <v>540</v>
      </c>
      <c r="T44" s="122">
        <v>180</v>
      </c>
      <c r="U44" s="126" t="s">
        <v>319</v>
      </c>
      <c r="V44" s="122">
        <v>500</v>
      </c>
      <c r="W44" s="122">
        <v>100</v>
      </c>
      <c r="X44" s="122">
        <v>120</v>
      </c>
      <c r="Y44" s="126" t="s">
        <v>319</v>
      </c>
    </row>
    <row r="45" spans="1:25" ht="14.25" x14ac:dyDescent="0.15">
      <c r="A45" s="22">
        <v>34</v>
      </c>
      <c r="B45" s="38" t="s">
        <v>126</v>
      </c>
      <c r="C45" s="126" t="s">
        <v>319</v>
      </c>
      <c r="D45" s="126" t="s">
        <v>319</v>
      </c>
      <c r="E45" s="126" t="s">
        <v>319</v>
      </c>
      <c r="F45" s="126" t="s">
        <v>319</v>
      </c>
      <c r="G45" s="95">
        <f>(90*0.96)</f>
        <v>86.399999999999991</v>
      </c>
      <c r="H45" s="95">
        <f>(810*0.96)</f>
        <v>777.6</v>
      </c>
      <c r="I45" s="126" t="s">
        <v>319</v>
      </c>
      <c r="K45" s="114">
        <v>150</v>
      </c>
      <c r="L45" s="114">
        <v>150</v>
      </c>
      <c r="M45" s="126" t="s">
        <v>319</v>
      </c>
      <c r="N45" s="114">
        <v>325</v>
      </c>
      <c r="O45" s="114">
        <v>75</v>
      </c>
      <c r="P45" s="114">
        <v>795</v>
      </c>
      <c r="Q45" s="126" t="s">
        <v>319</v>
      </c>
      <c r="S45" s="122" t="s">
        <v>319</v>
      </c>
      <c r="T45" s="122" t="s">
        <v>319</v>
      </c>
      <c r="U45" s="126" t="s">
        <v>319</v>
      </c>
      <c r="V45" s="126" t="s">
        <v>319</v>
      </c>
      <c r="W45" s="122">
        <v>150</v>
      </c>
      <c r="X45" s="122">
        <v>720</v>
      </c>
      <c r="Y45" s="126" t="s">
        <v>319</v>
      </c>
    </row>
    <row r="46" spans="1:25" ht="14.25" x14ac:dyDescent="0.15">
      <c r="A46" s="22">
        <v>35</v>
      </c>
      <c r="B46" s="38" t="s">
        <v>127</v>
      </c>
      <c r="C46" s="126" t="s">
        <v>319</v>
      </c>
      <c r="D46" s="126" t="s">
        <v>319</v>
      </c>
      <c r="E46" s="126" t="s">
        <v>319</v>
      </c>
      <c r="F46" s="126" t="s">
        <v>319</v>
      </c>
      <c r="G46" s="127">
        <f t="shared" ref="G46:G51" si="23">(45*0.96)</f>
        <v>43.199999999999996</v>
      </c>
      <c r="H46" s="95">
        <f>(405*0.96)</f>
        <v>388.8</v>
      </c>
      <c r="I46" s="126" t="s">
        <v>319</v>
      </c>
      <c r="K46" s="114" t="s">
        <v>319</v>
      </c>
      <c r="L46" s="114" t="s">
        <v>319</v>
      </c>
      <c r="M46" s="126" t="s">
        <v>319</v>
      </c>
      <c r="N46" s="114" t="s">
        <v>319</v>
      </c>
      <c r="O46" s="114">
        <v>75</v>
      </c>
      <c r="P46" s="114">
        <v>180</v>
      </c>
      <c r="Q46" s="126" t="s">
        <v>319</v>
      </c>
      <c r="S46" s="122" t="s">
        <v>319</v>
      </c>
      <c r="T46" s="122" t="s">
        <v>319</v>
      </c>
      <c r="U46" s="126" t="s">
        <v>319</v>
      </c>
      <c r="V46" s="126" t="s">
        <v>319</v>
      </c>
      <c r="W46" s="122">
        <v>30</v>
      </c>
      <c r="X46" s="122">
        <v>60</v>
      </c>
      <c r="Y46" s="126" t="s">
        <v>319</v>
      </c>
    </row>
    <row r="47" spans="1:25" ht="14.25" x14ac:dyDescent="0.15">
      <c r="A47" s="22">
        <v>36</v>
      </c>
      <c r="B47" s="38" t="s">
        <v>128</v>
      </c>
      <c r="C47" s="95">
        <f>(175*0.96)</f>
        <v>168</v>
      </c>
      <c r="D47" s="95">
        <f>(525*0.96)</f>
        <v>504</v>
      </c>
      <c r="E47" s="126" t="s">
        <v>319</v>
      </c>
      <c r="F47" s="127">
        <f t="shared" ref="F47" si="24">(300*0.96)</f>
        <v>288</v>
      </c>
      <c r="G47" s="127">
        <f t="shared" si="23"/>
        <v>43.199999999999996</v>
      </c>
      <c r="H47" s="127">
        <f t="shared" ref="H47:H51" si="25">(405*0.96)</f>
        <v>388.8</v>
      </c>
      <c r="I47" s="126" t="s">
        <v>319</v>
      </c>
      <c r="K47" s="114">
        <v>200</v>
      </c>
      <c r="L47" s="114">
        <v>300</v>
      </c>
      <c r="M47" s="126" t="s">
        <v>319</v>
      </c>
      <c r="N47" s="114">
        <v>325</v>
      </c>
      <c r="O47" s="114">
        <v>105</v>
      </c>
      <c r="P47" s="114">
        <v>310</v>
      </c>
      <c r="Q47" s="126" t="s">
        <v>319</v>
      </c>
      <c r="S47" s="122">
        <v>360</v>
      </c>
      <c r="T47" s="122">
        <v>120</v>
      </c>
      <c r="U47" s="126" t="s">
        <v>319</v>
      </c>
      <c r="V47" s="122">
        <v>500</v>
      </c>
      <c r="W47" s="122">
        <v>100</v>
      </c>
      <c r="X47" s="122">
        <v>240</v>
      </c>
      <c r="Y47" s="126" t="s">
        <v>319</v>
      </c>
    </row>
    <row r="48" spans="1:25" ht="14.25" x14ac:dyDescent="0.15">
      <c r="A48" s="22">
        <v>37</v>
      </c>
      <c r="B48" s="38" t="s">
        <v>129</v>
      </c>
      <c r="C48" s="126" t="s">
        <v>319</v>
      </c>
      <c r="D48" s="126" t="s">
        <v>319</v>
      </c>
      <c r="E48" s="126" t="s">
        <v>319</v>
      </c>
      <c r="F48" s="126" t="s">
        <v>319</v>
      </c>
      <c r="G48" s="127">
        <f t="shared" si="23"/>
        <v>43.199999999999996</v>
      </c>
      <c r="H48" s="127">
        <f t="shared" si="25"/>
        <v>388.8</v>
      </c>
      <c r="I48" s="126" t="s">
        <v>319</v>
      </c>
      <c r="K48" s="114" t="s">
        <v>319</v>
      </c>
      <c r="L48" s="114" t="s">
        <v>319</v>
      </c>
      <c r="M48" s="126" t="s">
        <v>319</v>
      </c>
      <c r="N48" s="114" t="s">
        <v>319</v>
      </c>
      <c r="O48" s="114">
        <v>75</v>
      </c>
      <c r="P48" s="114">
        <v>160</v>
      </c>
      <c r="Q48" s="126" t="s">
        <v>319</v>
      </c>
      <c r="S48" s="122" t="s">
        <v>319</v>
      </c>
      <c r="T48" s="122" t="s">
        <v>319</v>
      </c>
      <c r="U48" s="126" t="s">
        <v>319</v>
      </c>
      <c r="V48" s="126" t="s">
        <v>319</v>
      </c>
      <c r="W48" s="122">
        <v>100</v>
      </c>
      <c r="X48" s="122">
        <v>120</v>
      </c>
      <c r="Y48" s="126" t="s">
        <v>319</v>
      </c>
    </row>
    <row r="49" spans="1:25" ht="14.25" x14ac:dyDescent="0.15">
      <c r="A49" s="22">
        <v>38</v>
      </c>
      <c r="B49" s="38" t="s">
        <v>130</v>
      </c>
      <c r="C49" s="127">
        <f>(125*0.96)</f>
        <v>120</v>
      </c>
      <c r="D49" s="95">
        <f>(375*0.96)</f>
        <v>360</v>
      </c>
      <c r="E49" s="126" t="s">
        <v>319</v>
      </c>
      <c r="F49" s="127">
        <f t="shared" ref="F49" si="26">(300*0.96)</f>
        <v>288</v>
      </c>
      <c r="G49" s="95">
        <f>(85*0.96)</f>
        <v>81.599999999999994</v>
      </c>
      <c r="H49" s="95">
        <f>(770*0.96)</f>
        <v>739.19999999999993</v>
      </c>
      <c r="I49" s="126" t="s">
        <v>319</v>
      </c>
      <c r="K49" s="114">
        <v>200</v>
      </c>
      <c r="L49" s="114">
        <v>522</v>
      </c>
      <c r="M49" s="126" t="s">
        <v>319</v>
      </c>
      <c r="N49" s="114">
        <v>325</v>
      </c>
      <c r="O49" s="114" t="s">
        <v>319</v>
      </c>
      <c r="P49" s="114" t="s">
        <v>319</v>
      </c>
      <c r="Q49" s="126" t="s">
        <v>319</v>
      </c>
      <c r="S49" s="122">
        <v>360</v>
      </c>
      <c r="T49" s="122">
        <v>120</v>
      </c>
      <c r="U49" s="126" t="s">
        <v>319</v>
      </c>
      <c r="V49" s="122">
        <v>500</v>
      </c>
      <c r="W49" s="122">
        <v>100</v>
      </c>
      <c r="X49" s="122">
        <v>240</v>
      </c>
      <c r="Y49" s="126" t="s">
        <v>319</v>
      </c>
    </row>
    <row r="50" spans="1:25" ht="28.5" x14ac:dyDescent="0.15">
      <c r="A50" s="22">
        <v>39</v>
      </c>
      <c r="B50" s="38" t="s">
        <v>131</v>
      </c>
      <c r="C50" s="126" t="s">
        <v>319</v>
      </c>
      <c r="D50" s="126" t="s">
        <v>319</v>
      </c>
      <c r="E50" s="126" t="s">
        <v>319</v>
      </c>
      <c r="F50" s="126" t="s">
        <v>319</v>
      </c>
      <c r="G50" s="127">
        <f t="shared" si="23"/>
        <v>43.199999999999996</v>
      </c>
      <c r="H50" s="127">
        <f t="shared" si="25"/>
        <v>388.8</v>
      </c>
      <c r="I50" s="126" t="s">
        <v>319</v>
      </c>
      <c r="K50" s="114" t="s">
        <v>319</v>
      </c>
      <c r="L50" s="114" t="s">
        <v>319</v>
      </c>
      <c r="M50" s="114" t="s">
        <v>319</v>
      </c>
      <c r="N50" s="114" t="s">
        <v>319</v>
      </c>
      <c r="O50" s="114">
        <v>75</v>
      </c>
      <c r="P50" s="114">
        <v>170</v>
      </c>
      <c r="Q50" s="126" t="s">
        <v>319</v>
      </c>
      <c r="S50" s="122" t="s">
        <v>319</v>
      </c>
      <c r="T50" s="122" t="s">
        <v>319</v>
      </c>
      <c r="U50" s="126" t="s">
        <v>319</v>
      </c>
      <c r="V50" s="126" t="s">
        <v>319</v>
      </c>
      <c r="W50" s="122">
        <v>100</v>
      </c>
      <c r="X50" s="122">
        <v>120</v>
      </c>
      <c r="Y50" s="126" t="s">
        <v>319</v>
      </c>
    </row>
    <row r="51" spans="1:25" ht="14.25" x14ac:dyDescent="0.15">
      <c r="A51" s="22">
        <v>40</v>
      </c>
      <c r="B51" s="38" t="s">
        <v>132</v>
      </c>
      <c r="C51" s="126" t="s">
        <v>319</v>
      </c>
      <c r="D51" s="126" t="s">
        <v>319</v>
      </c>
      <c r="E51" s="126" t="s">
        <v>319</v>
      </c>
      <c r="F51" s="126" t="s">
        <v>319</v>
      </c>
      <c r="G51" s="127">
        <f t="shared" si="23"/>
        <v>43.199999999999996</v>
      </c>
      <c r="H51" s="127">
        <f t="shared" si="25"/>
        <v>388.8</v>
      </c>
      <c r="I51" s="126" t="s">
        <v>319</v>
      </c>
      <c r="K51" s="114" t="s">
        <v>319</v>
      </c>
      <c r="L51" s="114" t="s">
        <v>319</v>
      </c>
      <c r="M51" s="114" t="s">
        <v>319</v>
      </c>
      <c r="N51" s="114" t="s">
        <v>319</v>
      </c>
      <c r="O51" s="114">
        <v>75</v>
      </c>
      <c r="P51" s="114">
        <v>500</v>
      </c>
      <c r="Q51" s="126" t="s">
        <v>319</v>
      </c>
      <c r="S51" s="122" t="s">
        <v>319</v>
      </c>
      <c r="T51" s="122" t="s">
        <v>319</v>
      </c>
      <c r="U51" s="126" t="s">
        <v>319</v>
      </c>
      <c r="V51" s="126" t="s">
        <v>319</v>
      </c>
      <c r="W51" s="122">
        <v>100</v>
      </c>
      <c r="X51" s="122">
        <v>120</v>
      </c>
      <c r="Y51" s="126" t="s">
        <v>319</v>
      </c>
    </row>
    <row r="52" spans="1:25" ht="14.25" x14ac:dyDescent="0.15">
      <c r="A52" s="22">
        <v>41</v>
      </c>
      <c r="B52" s="38" t="s">
        <v>133</v>
      </c>
      <c r="C52" s="95">
        <f>(113*0.96)</f>
        <v>108.47999999999999</v>
      </c>
      <c r="D52" s="95">
        <f>(337*0.96)</f>
        <v>323.52</v>
      </c>
      <c r="E52" s="126" t="s">
        <v>319</v>
      </c>
      <c r="F52" s="127">
        <f t="shared" ref="F52" si="27">(300*0.96)</f>
        <v>288</v>
      </c>
      <c r="G52" s="95">
        <f>(90*0.96)</f>
        <v>86.399999999999991</v>
      </c>
      <c r="H52" s="95">
        <f>(810*0.96)</f>
        <v>777.6</v>
      </c>
      <c r="I52" s="126" t="s">
        <v>319</v>
      </c>
      <c r="K52" s="114">
        <v>200</v>
      </c>
      <c r="L52" s="114">
        <v>522</v>
      </c>
      <c r="M52" s="126" t="s">
        <v>319</v>
      </c>
      <c r="N52" s="114">
        <v>325</v>
      </c>
      <c r="O52" s="114">
        <v>190</v>
      </c>
      <c r="P52" s="114">
        <v>770</v>
      </c>
      <c r="Q52" s="126" t="s">
        <v>319</v>
      </c>
      <c r="S52" s="122">
        <v>360</v>
      </c>
      <c r="T52" s="122">
        <v>120</v>
      </c>
      <c r="U52" s="126" t="s">
        <v>319</v>
      </c>
      <c r="V52" s="122">
        <v>500</v>
      </c>
      <c r="W52" s="122">
        <v>100</v>
      </c>
      <c r="X52" s="122">
        <v>960</v>
      </c>
      <c r="Y52" s="122">
        <v>60</v>
      </c>
    </row>
    <row r="53" spans="1:25" ht="14.25" x14ac:dyDescent="0.15">
      <c r="A53" s="22">
        <v>42</v>
      </c>
      <c r="B53" s="38" t="s">
        <v>134</v>
      </c>
      <c r="C53" s="126" t="s">
        <v>319</v>
      </c>
      <c r="D53" s="126" t="s">
        <v>319</v>
      </c>
      <c r="E53" s="126" t="s">
        <v>319</v>
      </c>
      <c r="F53" s="126" t="s">
        <v>319</v>
      </c>
      <c r="G53" s="95">
        <f>(76*0.96)</f>
        <v>72.959999999999994</v>
      </c>
      <c r="H53" s="95">
        <f>(689*0.96)</f>
        <v>661.43999999999994</v>
      </c>
      <c r="I53" s="126" t="s">
        <v>319</v>
      </c>
      <c r="K53" s="114">
        <v>200</v>
      </c>
      <c r="L53" s="114">
        <v>376</v>
      </c>
      <c r="M53" s="126" t="s">
        <v>319</v>
      </c>
      <c r="N53" s="114">
        <v>325</v>
      </c>
      <c r="O53" s="114">
        <v>190</v>
      </c>
      <c r="P53" s="114">
        <v>805</v>
      </c>
      <c r="Q53" s="126" t="s">
        <v>319</v>
      </c>
      <c r="S53" s="122">
        <v>540</v>
      </c>
      <c r="T53" s="122">
        <v>180</v>
      </c>
      <c r="U53" s="126" t="s">
        <v>319</v>
      </c>
      <c r="V53" s="122">
        <v>500</v>
      </c>
      <c r="W53" s="122">
        <v>100</v>
      </c>
      <c r="X53" s="122">
        <v>960</v>
      </c>
      <c r="Y53" s="122">
        <v>60</v>
      </c>
    </row>
    <row r="54" spans="1:25" ht="14.25" x14ac:dyDescent="0.15">
      <c r="A54" s="22">
        <v>43</v>
      </c>
      <c r="B54" s="38" t="s">
        <v>135</v>
      </c>
      <c r="C54" s="95">
        <f>(187*0.96)</f>
        <v>179.51999999999998</v>
      </c>
      <c r="D54" s="95">
        <f>(563*0.96)</f>
        <v>540.48</v>
      </c>
      <c r="E54" s="126" t="s">
        <v>319</v>
      </c>
      <c r="F54" s="127">
        <f t="shared" ref="F54" si="28">(300*0.96)</f>
        <v>288</v>
      </c>
      <c r="G54" s="127">
        <f t="shared" ref="G54:G55" si="29">(76*0.96)</f>
        <v>72.959999999999994</v>
      </c>
      <c r="H54" s="127">
        <f t="shared" ref="H54:H55" si="30">(689*0.96)</f>
        <v>661.43999999999994</v>
      </c>
      <c r="I54" s="126" t="s">
        <v>319</v>
      </c>
      <c r="K54" s="114">
        <v>200</v>
      </c>
      <c r="L54" s="114">
        <v>522</v>
      </c>
      <c r="M54" s="114">
        <v>100</v>
      </c>
      <c r="N54" s="114">
        <v>325</v>
      </c>
      <c r="O54" s="114">
        <v>150</v>
      </c>
      <c r="P54" s="114">
        <v>850</v>
      </c>
      <c r="Q54" s="126" t="s">
        <v>319</v>
      </c>
      <c r="S54" s="122">
        <v>360</v>
      </c>
      <c r="T54" s="122">
        <v>120</v>
      </c>
      <c r="U54" s="126" t="s">
        <v>319</v>
      </c>
      <c r="V54" s="122">
        <v>500</v>
      </c>
      <c r="W54" s="122">
        <v>100</v>
      </c>
      <c r="X54" s="122">
        <v>600</v>
      </c>
      <c r="Y54" s="126" t="s">
        <v>319</v>
      </c>
    </row>
    <row r="55" spans="1:25" ht="14.25" x14ac:dyDescent="0.15">
      <c r="A55" s="22">
        <v>44</v>
      </c>
      <c r="B55" s="38" t="s">
        <v>136</v>
      </c>
      <c r="C55" s="126" t="s">
        <v>319</v>
      </c>
      <c r="D55" s="126" t="s">
        <v>319</v>
      </c>
      <c r="E55" s="126" t="s">
        <v>319</v>
      </c>
      <c r="F55" s="126" t="s">
        <v>319</v>
      </c>
      <c r="G55" s="127">
        <f t="shared" si="29"/>
        <v>72.959999999999994</v>
      </c>
      <c r="H55" s="127">
        <f t="shared" si="30"/>
        <v>661.43999999999994</v>
      </c>
      <c r="I55" s="126" t="s">
        <v>319</v>
      </c>
      <c r="K55" s="114" t="s">
        <v>319</v>
      </c>
      <c r="L55" s="114" t="s">
        <v>319</v>
      </c>
      <c r="M55" s="114" t="s">
        <v>319</v>
      </c>
      <c r="N55" s="114" t="s">
        <v>319</v>
      </c>
      <c r="O55" s="114">
        <v>75</v>
      </c>
      <c r="P55" s="114">
        <v>295</v>
      </c>
      <c r="Q55" s="126" t="s">
        <v>319</v>
      </c>
      <c r="S55" s="122" t="s">
        <v>319</v>
      </c>
      <c r="T55" s="122" t="s">
        <v>319</v>
      </c>
      <c r="U55" s="126" t="s">
        <v>319</v>
      </c>
      <c r="V55" s="122" t="s">
        <v>319</v>
      </c>
      <c r="W55" s="122">
        <v>150</v>
      </c>
      <c r="X55" s="122">
        <v>240</v>
      </c>
      <c r="Y55" s="126" t="s">
        <v>319</v>
      </c>
    </row>
    <row r="56" spans="1:25" ht="14.25" x14ac:dyDescent="0.15">
      <c r="A56" s="22">
        <v>45</v>
      </c>
      <c r="B56" s="40" t="s">
        <v>137</v>
      </c>
      <c r="C56" s="127">
        <f>(125*0.96)</f>
        <v>120</v>
      </c>
      <c r="D56" s="95">
        <f>(375*0.96)</f>
        <v>360</v>
      </c>
      <c r="E56" s="126" t="s">
        <v>319</v>
      </c>
      <c r="F56" s="127">
        <f t="shared" ref="F56:F58" si="31">(300*0.96)</f>
        <v>288</v>
      </c>
      <c r="G56" s="95">
        <f>(85*0.96)</f>
        <v>81.599999999999994</v>
      </c>
      <c r="H56" s="95">
        <f>(770*0.96)</f>
        <v>739.19999999999993</v>
      </c>
      <c r="I56" s="126" t="s">
        <v>319</v>
      </c>
      <c r="K56" s="114">
        <v>200</v>
      </c>
      <c r="L56" s="114">
        <v>522</v>
      </c>
      <c r="M56" s="126" t="s">
        <v>319</v>
      </c>
      <c r="N56" s="114">
        <v>325</v>
      </c>
      <c r="O56" s="114">
        <v>125</v>
      </c>
      <c r="P56" s="114">
        <v>650</v>
      </c>
      <c r="Q56" s="126" t="s">
        <v>319</v>
      </c>
      <c r="S56" s="122">
        <v>540</v>
      </c>
      <c r="T56" s="122">
        <v>180</v>
      </c>
      <c r="U56" s="126" t="s">
        <v>319</v>
      </c>
      <c r="V56" s="122">
        <v>500</v>
      </c>
      <c r="W56" s="122">
        <v>100</v>
      </c>
      <c r="X56" s="122">
        <v>480</v>
      </c>
      <c r="Y56" s="126" t="s">
        <v>319</v>
      </c>
    </row>
    <row r="57" spans="1:25" ht="14.25" x14ac:dyDescent="0.15">
      <c r="A57" s="22">
        <v>46</v>
      </c>
      <c r="B57" s="210" t="s">
        <v>473</v>
      </c>
      <c r="C57" s="185">
        <f>(195*0.96)</f>
        <v>187.2</v>
      </c>
      <c r="D57" s="185">
        <f>(595*0.96)</f>
        <v>571.19999999999993</v>
      </c>
      <c r="E57" s="186" t="s">
        <v>319</v>
      </c>
      <c r="F57" s="185">
        <f t="shared" si="31"/>
        <v>288</v>
      </c>
      <c r="G57" s="185">
        <f>(225*0.96)</f>
        <v>216</v>
      </c>
      <c r="H57" s="185">
        <f>(2025*0.96)</f>
        <v>1944</v>
      </c>
      <c r="I57" s="186" t="s">
        <v>319</v>
      </c>
      <c r="K57" s="186">
        <v>300</v>
      </c>
      <c r="L57" s="186">
        <v>600</v>
      </c>
      <c r="M57" s="186" t="s">
        <v>319</v>
      </c>
      <c r="N57" s="186">
        <v>400</v>
      </c>
      <c r="O57" s="186">
        <v>150</v>
      </c>
      <c r="P57" s="186">
        <v>2170</v>
      </c>
      <c r="Q57" s="186" t="s">
        <v>319</v>
      </c>
      <c r="S57" s="186">
        <v>360</v>
      </c>
      <c r="T57" s="186">
        <v>120</v>
      </c>
      <c r="U57" s="186" t="s">
        <v>319</v>
      </c>
      <c r="V57" s="186">
        <v>500</v>
      </c>
      <c r="W57" s="186">
        <v>100</v>
      </c>
      <c r="X57" s="186">
        <v>240</v>
      </c>
      <c r="Y57" s="186" t="s">
        <v>319</v>
      </c>
    </row>
    <row r="58" spans="1:25" ht="14.25" x14ac:dyDescent="0.15">
      <c r="A58" s="22">
        <v>47</v>
      </c>
      <c r="B58" s="210" t="s">
        <v>472</v>
      </c>
      <c r="C58" s="185">
        <f>(195*0.96)</f>
        <v>187.2</v>
      </c>
      <c r="D58" s="185">
        <f>(595*0.96)</f>
        <v>571.19999999999993</v>
      </c>
      <c r="E58" s="186" t="s">
        <v>319</v>
      </c>
      <c r="F58" s="185">
        <f t="shared" si="31"/>
        <v>288</v>
      </c>
      <c r="G58" s="185">
        <f>(225*0.96)</f>
        <v>216</v>
      </c>
      <c r="H58" s="185">
        <f>(2025*0.96)</f>
        <v>1944</v>
      </c>
      <c r="I58" s="186" t="s">
        <v>319</v>
      </c>
      <c r="K58" s="186">
        <v>250</v>
      </c>
      <c r="L58" s="186">
        <v>350</v>
      </c>
      <c r="M58" s="186" t="s">
        <v>319</v>
      </c>
      <c r="N58" s="186">
        <v>400</v>
      </c>
      <c r="O58" s="186">
        <v>140</v>
      </c>
      <c r="P58" s="186">
        <v>1140</v>
      </c>
      <c r="Q58" s="186" t="s">
        <v>319</v>
      </c>
      <c r="S58" s="186">
        <v>360</v>
      </c>
      <c r="T58" s="186">
        <v>120</v>
      </c>
      <c r="U58" s="186" t="s">
        <v>319</v>
      </c>
      <c r="V58" s="186">
        <v>500</v>
      </c>
      <c r="W58" s="186">
        <v>100</v>
      </c>
      <c r="X58" s="186">
        <v>240</v>
      </c>
      <c r="Y58" s="186" t="s">
        <v>319</v>
      </c>
    </row>
    <row r="59" spans="1:25" ht="14.25" x14ac:dyDescent="0.15">
      <c r="A59" s="22">
        <v>48</v>
      </c>
      <c r="B59" s="38" t="s">
        <v>138</v>
      </c>
      <c r="C59" s="126" t="s">
        <v>319</v>
      </c>
      <c r="D59" s="126" t="s">
        <v>319</v>
      </c>
      <c r="E59" s="126" t="s">
        <v>319</v>
      </c>
      <c r="F59" s="126" t="s">
        <v>319</v>
      </c>
      <c r="G59" s="95">
        <f>(72*0.96)</f>
        <v>69.12</v>
      </c>
      <c r="H59" s="95">
        <f>(648*0.96)</f>
        <v>622.07999999999993</v>
      </c>
      <c r="I59" s="126" t="s">
        <v>319</v>
      </c>
      <c r="K59" s="114">
        <v>200</v>
      </c>
      <c r="L59" s="114">
        <v>210</v>
      </c>
      <c r="M59" s="126" t="s">
        <v>319</v>
      </c>
      <c r="N59" s="114">
        <v>325</v>
      </c>
      <c r="O59" s="114">
        <v>125</v>
      </c>
      <c r="P59" s="114">
        <v>215</v>
      </c>
      <c r="Q59" s="126" t="s">
        <v>319</v>
      </c>
      <c r="S59" s="122">
        <v>540</v>
      </c>
      <c r="T59" s="122">
        <v>180</v>
      </c>
      <c r="U59" s="126" t="s">
        <v>319</v>
      </c>
      <c r="V59" s="122">
        <v>500</v>
      </c>
      <c r="W59" s="122">
        <v>100</v>
      </c>
      <c r="X59" s="122">
        <v>240</v>
      </c>
      <c r="Y59" s="122">
        <v>60</v>
      </c>
    </row>
    <row r="60" spans="1:25" ht="14.25" x14ac:dyDescent="0.15">
      <c r="A60" s="22">
        <v>49</v>
      </c>
      <c r="B60" s="38" t="s">
        <v>139</v>
      </c>
      <c r="C60" s="126" t="s">
        <v>319</v>
      </c>
      <c r="D60" s="126" t="s">
        <v>319</v>
      </c>
      <c r="E60" s="126" t="s">
        <v>319</v>
      </c>
      <c r="F60" s="126" t="s">
        <v>319</v>
      </c>
      <c r="G60" s="95">
        <f>(36*0.96)</f>
        <v>34.56</v>
      </c>
      <c r="H60" s="95">
        <f>(324*0.96)</f>
        <v>311.03999999999996</v>
      </c>
      <c r="I60" s="126" t="s">
        <v>319</v>
      </c>
      <c r="K60" s="114" t="s">
        <v>319</v>
      </c>
      <c r="L60" s="114" t="s">
        <v>319</v>
      </c>
      <c r="M60" s="126" t="s">
        <v>319</v>
      </c>
      <c r="N60" s="114" t="s">
        <v>319</v>
      </c>
      <c r="O60" s="114">
        <v>75</v>
      </c>
      <c r="P60" s="114">
        <v>155</v>
      </c>
      <c r="Q60" s="126" t="s">
        <v>319</v>
      </c>
      <c r="S60" s="122" t="s">
        <v>319</v>
      </c>
      <c r="T60" s="122" t="s">
        <v>319</v>
      </c>
      <c r="U60" s="126" t="s">
        <v>319</v>
      </c>
      <c r="V60" s="126" t="s">
        <v>319</v>
      </c>
      <c r="W60" s="122">
        <v>30</v>
      </c>
      <c r="X60" s="122">
        <v>30</v>
      </c>
      <c r="Y60" s="126" t="s">
        <v>319</v>
      </c>
    </row>
    <row r="61" spans="1:25" ht="14.25" x14ac:dyDescent="0.15">
      <c r="A61" s="22">
        <v>50</v>
      </c>
      <c r="B61" s="38" t="s">
        <v>140</v>
      </c>
      <c r="C61" s="126" t="s">
        <v>319</v>
      </c>
      <c r="D61" s="126" t="s">
        <v>319</v>
      </c>
      <c r="E61" s="126" t="s">
        <v>319</v>
      </c>
      <c r="F61" s="126" t="s">
        <v>319</v>
      </c>
      <c r="G61" s="95">
        <f>(54*0.96)</f>
        <v>51.839999999999996</v>
      </c>
      <c r="H61" s="95">
        <f>(486*0.96)</f>
        <v>466.56</v>
      </c>
      <c r="I61" s="126" t="s">
        <v>319</v>
      </c>
      <c r="K61" s="114">
        <v>175</v>
      </c>
      <c r="L61" s="114">
        <v>450</v>
      </c>
      <c r="M61" s="126" t="s">
        <v>319</v>
      </c>
      <c r="N61" s="114">
        <v>325</v>
      </c>
      <c r="O61" s="114">
        <v>75</v>
      </c>
      <c r="P61" s="114">
        <v>340</v>
      </c>
      <c r="Q61" s="126" t="s">
        <v>319</v>
      </c>
      <c r="S61" s="122" t="s">
        <v>319</v>
      </c>
      <c r="T61" s="122" t="s">
        <v>319</v>
      </c>
      <c r="U61" s="126" t="s">
        <v>319</v>
      </c>
      <c r="V61" s="126" t="s">
        <v>319</v>
      </c>
      <c r="W61" s="122">
        <v>150</v>
      </c>
      <c r="X61" s="122">
        <v>240</v>
      </c>
      <c r="Y61" s="126" t="s">
        <v>319</v>
      </c>
    </row>
    <row r="62" spans="1:25" ht="14.25" x14ac:dyDescent="0.15">
      <c r="A62" s="22">
        <v>51</v>
      </c>
      <c r="B62" s="38" t="s">
        <v>270</v>
      </c>
      <c r="C62" s="126" t="s">
        <v>319</v>
      </c>
      <c r="D62" s="126" t="s">
        <v>319</v>
      </c>
      <c r="E62" s="126" t="s">
        <v>319</v>
      </c>
      <c r="F62" s="126" t="s">
        <v>319</v>
      </c>
      <c r="G62" s="127">
        <f>(54*0.96)</f>
        <v>51.839999999999996</v>
      </c>
      <c r="H62" s="127">
        <f>(486*0.96)</f>
        <v>466.56</v>
      </c>
      <c r="I62" s="126" t="s">
        <v>319</v>
      </c>
      <c r="K62" s="114">
        <v>150</v>
      </c>
      <c r="L62" s="114">
        <v>150</v>
      </c>
      <c r="M62" s="126" t="s">
        <v>319</v>
      </c>
      <c r="N62" s="114">
        <v>325</v>
      </c>
      <c r="O62" s="114">
        <v>75</v>
      </c>
      <c r="P62" s="114">
        <v>100</v>
      </c>
      <c r="Q62" s="126" t="s">
        <v>319</v>
      </c>
      <c r="S62" s="122">
        <v>60</v>
      </c>
      <c r="T62" s="122">
        <v>60</v>
      </c>
      <c r="U62" s="126" t="s">
        <v>319</v>
      </c>
      <c r="V62" s="122">
        <v>500</v>
      </c>
      <c r="W62" s="122" t="s">
        <v>319</v>
      </c>
      <c r="X62" s="122" t="s">
        <v>319</v>
      </c>
      <c r="Y62" s="126" t="s">
        <v>319</v>
      </c>
    </row>
    <row r="63" spans="1:25" ht="14.25" x14ac:dyDescent="0.15">
      <c r="A63" s="22">
        <v>52</v>
      </c>
      <c r="B63" s="38" t="s">
        <v>141</v>
      </c>
      <c r="C63" s="95">
        <f>(300*0.96)</f>
        <v>288</v>
      </c>
      <c r="D63" s="95">
        <f>(1044*0.96)</f>
        <v>1002.24</v>
      </c>
      <c r="E63" s="126" t="s">
        <v>319</v>
      </c>
      <c r="F63" s="127">
        <f t="shared" ref="F63:F64" si="32">(300*0.96)</f>
        <v>288</v>
      </c>
      <c r="G63" s="127">
        <f>(225*0.96)</f>
        <v>216</v>
      </c>
      <c r="H63" s="95">
        <f>(2025*0.96)</f>
        <v>1944</v>
      </c>
      <c r="I63" s="126" t="s">
        <v>319</v>
      </c>
      <c r="K63" s="114">
        <v>250</v>
      </c>
      <c r="L63" s="114">
        <v>800</v>
      </c>
      <c r="M63" s="114">
        <v>100</v>
      </c>
      <c r="N63" s="114">
        <v>325</v>
      </c>
      <c r="O63" s="114">
        <v>240</v>
      </c>
      <c r="P63" s="114">
        <v>2065</v>
      </c>
      <c r="Q63" s="126" t="s">
        <v>319</v>
      </c>
      <c r="S63" s="122">
        <v>720</v>
      </c>
      <c r="T63" s="122">
        <v>240</v>
      </c>
      <c r="U63" s="122">
        <v>120</v>
      </c>
      <c r="V63" s="122">
        <v>500</v>
      </c>
      <c r="W63" s="122">
        <v>100</v>
      </c>
      <c r="X63" s="122">
        <v>1920</v>
      </c>
      <c r="Y63" s="122">
        <v>60</v>
      </c>
    </row>
    <row r="64" spans="1:25" ht="16.7" customHeight="1" x14ac:dyDescent="0.15">
      <c r="A64" s="22">
        <v>53</v>
      </c>
      <c r="B64" s="38" t="s">
        <v>142</v>
      </c>
      <c r="C64" s="127">
        <f>(200*0.96)</f>
        <v>192</v>
      </c>
      <c r="D64" s="95">
        <f>(600*0.96)</f>
        <v>576</v>
      </c>
      <c r="E64" s="126" t="s">
        <v>319</v>
      </c>
      <c r="F64" s="127">
        <f t="shared" si="32"/>
        <v>288</v>
      </c>
      <c r="G64" s="95">
        <f>(72*0.96)</f>
        <v>69.12</v>
      </c>
      <c r="H64" s="127">
        <f>(648*0.96)</f>
        <v>622.07999999999993</v>
      </c>
      <c r="I64" s="126" t="s">
        <v>319</v>
      </c>
      <c r="K64" s="114">
        <v>200</v>
      </c>
      <c r="L64" s="114">
        <v>1034</v>
      </c>
      <c r="M64" s="114" t="s">
        <v>319</v>
      </c>
      <c r="N64" s="114">
        <v>325</v>
      </c>
      <c r="O64" s="114">
        <v>185</v>
      </c>
      <c r="P64" s="114">
        <v>390</v>
      </c>
      <c r="Q64" s="126" t="s">
        <v>319</v>
      </c>
      <c r="S64" s="122">
        <v>540</v>
      </c>
      <c r="T64" s="122">
        <v>180</v>
      </c>
      <c r="U64" s="126" t="s">
        <v>319</v>
      </c>
      <c r="V64" s="122">
        <v>500</v>
      </c>
      <c r="W64" s="122">
        <v>100</v>
      </c>
      <c r="X64" s="122">
        <v>240</v>
      </c>
      <c r="Y64" s="122">
        <v>60</v>
      </c>
    </row>
    <row r="65" spans="1:25" ht="14.25" x14ac:dyDescent="0.15">
      <c r="A65" s="22">
        <v>54</v>
      </c>
      <c r="B65" s="38" t="s">
        <v>143</v>
      </c>
      <c r="C65" s="126" t="s">
        <v>319</v>
      </c>
      <c r="D65" s="126" t="s">
        <v>319</v>
      </c>
      <c r="E65" s="126" t="s">
        <v>319</v>
      </c>
      <c r="F65" s="126" t="s">
        <v>319</v>
      </c>
      <c r="G65" s="127">
        <f>(72*0.96)</f>
        <v>69.12</v>
      </c>
      <c r="H65" s="127">
        <f>(648*0.96)</f>
        <v>622.07999999999993</v>
      </c>
      <c r="I65" s="126" t="s">
        <v>319</v>
      </c>
      <c r="K65" s="114" t="s">
        <v>319</v>
      </c>
      <c r="L65" s="114" t="s">
        <v>319</v>
      </c>
      <c r="M65" s="114" t="s">
        <v>319</v>
      </c>
      <c r="N65" s="114" t="s">
        <v>319</v>
      </c>
      <c r="O65" s="114">
        <v>75</v>
      </c>
      <c r="P65" s="114">
        <v>385</v>
      </c>
      <c r="Q65" s="126" t="s">
        <v>319</v>
      </c>
      <c r="S65" s="122" t="s">
        <v>319</v>
      </c>
      <c r="T65" s="122" t="s">
        <v>319</v>
      </c>
      <c r="U65" s="126" t="s">
        <v>319</v>
      </c>
      <c r="V65" s="126" t="s">
        <v>319</v>
      </c>
      <c r="W65" s="122">
        <v>150</v>
      </c>
      <c r="X65" s="122">
        <v>240</v>
      </c>
      <c r="Y65" s="126" t="s">
        <v>319</v>
      </c>
    </row>
    <row r="66" spans="1:25" ht="14.25" x14ac:dyDescent="0.15">
      <c r="A66" s="22">
        <v>55</v>
      </c>
      <c r="B66" s="38" t="s">
        <v>144</v>
      </c>
      <c r="C66" s="127">
        <f t="shared" ref="C66" si="33">(75*0.96)</f>
        <v>72</v>
      </c>
      <c r="D66" s="127">
        <f t="shared" ref="D66" si="34">(225*0.96)</f>
        <v>216</v>
      </c>
      <c r="E66" s="126" t="s">
        <v>319</v>
      </c>
      <c r="F66" s="127">
        <f t="shared" ref="F66" si="35">(300*0.96)</f>
        <v>288</v>
      </c>
      <c r="G66" s="95">
        <f>(90*0.96)</f>
        <v>86.399999999999991</v>
      </c>
      <c r="H66" s="127">
        <f>(810*0.96)</f>
        <v>777.6</v>
      </c>
      <c r="I66" s="126" t="s">
        <v>319</v>
      </c>
      <c r="K66" s="114">
        <v>200</v>
      </c>
      <c r="L66" s="114">
        <v>525</v>
      </c>
      <c r="M66" s="114">
        <v>100</v>
      </c>
      <c r="N66" s="114">
        <v>325</v>
      </c>
      <c r="O66" s="114">
        <v>95</v>
      </c>
      <c r="P66" s="114">
        <v>665</v>
      </c>
      <c r="Q66" s="126" t="s">
        <v>319</v>
      </c>
      <c r="S66" s="122">
        <v>360</v>
      </c>
      <c r="T66" s="122">
        <v>120</v>
      </c>
      <c r="U66" s="126" t="s">
        <v>319</v>
      </c>
      <c r="V66" s="122">
        <v>500</v>
      </c>
      <c r="W66" s="122">
        <v>100</v>
      </c>
      <c r="X66" s="122">
        <v>720</v>
      </c>
      <c r="Y66" s="126" t="s">
        <v>319</v>
      </c>
    </row>
    <row r="67" spans="1:25" ht="14.25" x14ac:dyDescent="0.2">
      <c r="A67" s="22">
        <v>56</v>
      </c>
      <c r="B67" s="41" t="s">
        <v>145</v>
      </c>
      <c r="C67" s="126" t="s">
        <v>319</v>
      </c>
      <c r="D67" s="126" t="s">
        <v>319</v>
      </c>
      <c r="E67" s="126" t="s">
        <v>319</v>
      </c>
      <c r="F67" s="126" t="s">
        <v>319</v>
      </c>
      <c r="G67" s="95">
        <f>(54*0.96)</f>
        <v>51.839999999999996</v>
      </c>
      <c r="H67" s="127">
        <f>(486*0.96)</f>
        <v>466.56</v>
      </c>
      <c r="I67" s="126" t="s">
        <v>319</v>
      </c>
      <c r="K67" s="114" t="s">
        <v>319</v>
      </c>
      <c r="L67" s="114" t="s">
        <v>319</v>
      </c>
      <c r="M67" s="114" t="s">
        <v>319</v>
      </c>
      <c r="N67" s="114" t="s">
        <v>319</v>
      </c>
      <c r="O67" s="114">
        <v>75</v>
      </c>
      <c r="P67" s="114">
        <v>100</v>
      </c>
      <c r="Q67" s="126" t="s">
        <v>319</v>
      </c>
      <c r="S67" s="122" t="s">
        <v>319</v>
      </c>
      <c r="T67" s="122" t="s">
        <v>319</v>
      </c>
      <c r="U67" s="126" t="s">
        <v>319</v>
      </c>
      <c r="V67" s="126" t="s">
        <v>319</v>
      </c>
      <c r="W67" s="122">
        <v>30</v>
      </c>
      <c r="X67" s="122">
        <v>30</v>
      </c>
      <c r="Y67" s="126" t="s">
        <v>319</v>
      </c>
    </row>
    <row r="68" spans="1:25" ht="14.25" x14ac:dyDescent="0.2">
      <c r="A68" s="22">
        <v>57</v>
      </c>
      <c r="B68" s="42" t="s">
        <v>146</v>
      </c>
      <c r="C68" s="95">
        <f>(160*0.96)</f>
        <v>153.6</v>
      </c>
      <c r="D68" s="95">
        <f>(490*0.96)</f>
        <v>470.4</v>
      </c>
      <c r="E68" s="126" t="s">
        <v>319</v>
      </c>
      <c r="F68" s="127">
        <f t="shared" ref="F68:F70" si="36">(300*0.96)</f>
        <v>288</v>
      </c>
      <c r="G68" s="95">
        <f>(180*0.96)</f>
        <v>172.79999999999998</v>
      </c>
      <c r="H68" s="95">
        <f>(1620*0.96)</f>
        <v>1555.2</v>
      </c>
      <c r="I68" s="126" t="s">
        <v>319</v>
      </c>
      <c r="K68" s="114">
        <v>200</v>
      </c>
      <c r="L68" s="114">
        <v>396</v>
      </c>
      <c r="M68" s="126" t="s">
        <v>319</v>
      </c>
      <c r="N68" s="114">
        <v>325</v>
      </c>
      <c r="O68" s="114">
        <v>265</v>
      </c>
      <c r="P68" s="114">
        <v>1450</v>
      </c>
      <c r="Q68" s="126" t="s">
        <v>319</v>
      </c>
      <c r="S68" s="122">
        <v>720</v>
      </c>
      <c r="T68" s="122">
        <v>240</v>
      </c>
      <c r="U68" s="126" t="s">
        <v>319</v>
      </c>
      <c r="V68" s="122">
        <v>500</v>
      </c>
      <c r="W68" s="122">
        <v>100</v>
      </c>
      <c r="X68" s="122">
        <v>960</v>
      </c>
      <c r="Y68" s="126" t="s">
        <v>319</v>
      </c>
    </row>
    <row r="69" spans="1:25" ht="14.25" x14ac:dyDescent="0.2">
      <c r="A69" s="22">
        <v>58</v>
      </c>
      <c r="B69" s="42" t="s">
        <v>147</v>
      </c>
      <c r="C69" s="127">
        <f>(125*0.96)</f>
        <v>120</v>
      </c>
      <c r="D69" s="95">
        <f>(375*0.96)</f>
        <v>360</v>
      </c>
      <c r="E69" s="126" t="s">
        <v>319</v>
      </c>
      <c r="F69" s="127">
        <f t="shared" si="36"/>
        <v>288</v>
      </c>
      <c r="G69" s="95">
        <f>(40*0.96)</f>
        <v>38.4</v>
      </c>
      <c r="H69" s="95">
        <f>(360*0.96)</f>
        <v>345.59999999999997</v>
      </c>
      <c r="I69" s="126" t="s">
        <v>319</v>
      </c>
      <c r="K69" s="114">
        <v>200</v>
      </c>
      <c r="L69" s="114">
        <v>400</v>
      </c>
      <c r="M69" s="126" t="s">
        <v>319</v>
      </c>
      <c r="N69" s="114">
        <v>325</v>
      </c>
      <c r="O69" s="114">
        <v>290</v>
      </c>
      <c r="P69" s="114">
        <v>465</v>
      </c>
      <c r="Q69" s="126" t="s">
        <v>319</v>
      </c>
      <c r="S69" s="122">
        <v>540</v>
      </c>
      <c r="T69" s="122">
        <v>180</v>
      </c>
      <c r="U69" s="126" t="s">
        <v>319</v>
      </c>
      <c r="V69" s="122">
        <v>500</v>
      </c>
      <c r="W69" s="122">
        <v>100</v>
      </c>
      <c r="X69" s="122">
        <v>540</v>
      </c>
      <c r="Y69" s="126" t="s">
        <v>319</v>
      </c>
    </row>
    <row r="70" spans="1:25" ht="14.25" x14ac:dyDescent="0.2">
      <c r="A70" s="22">
        <v>59</v>
      </c>
      <c r="B70" s="42" t="s">
        <v>148</v>
      </c>
      <c r="C70" s="95">
        <f>(145*0.96)</f>
        <v>139.19999999999999</v>
      </c>
      <c r="D70" s="95">
        <f>(535*0.96)</f>
        <v>513.6</v>
      </c>
      <c r="E70" s="126" t="s">
        <v>319</v>
      </c>
      <c r="F70" s="127">
        <f t="shared" si="36"/>
        <v>288</v>
      </c>
      <c r="G70" s="95">
        <f>(180*0.96)</f>
        <v>172.79999999999998</v>
      </c>
      <c r="H70" s="127">
        <f>(1620*0.96)</f>
        <v>1555.2</v>
      </c>
      <c r="I70" s="126" t="s">
        <v>319</v>
      </c>
      <c r="K70" s="114">
        <v>200</v>
      </c>
      <c r="L70" s="114">
        <v>525</v>
      </c>
      <c r="M70" s="114">
        <v>100</v>
      </c>
      <c r="N70" s="114">
        <v>325</v>
      </c>
      <c r="O70" s="114">
        <v>125</v>
      </c>
      <c r="P70" s="114">
        <v>600</v>
      </c>
      <c r="Q70" s="126" t="s">
        <v>319</v>
      </c>
      <c r="S70" s="122">
        <v>720</v>
      </c>
      <c r="T70" s="122">
        <v>240</v>
      </c>
      <c r="U70" s="126" t="s">
        <v>319</v>
      </c>
      <c r="V70" s="122">
        <v>500</v>
      </c>
      <c r="W70" s="122">
        <v>100</v>
      </c>
      <c r="X70" s="122">
        <v>1920</v>
      </c>
      <c r="Y70" s="126" t="s">
        <v>319</v>
      </c>
    </row>
    <row r="71" spans="1:25" ht="14.25" x14ac:dyDescent="0.2">
      <c r="A71" s="22">
        <v>60</v>
      </c>
      <c r="B71" s="42" t="s">
        <v>149</v>
      </c>
      <c r="C71" s="126" t="s">
        <v>319</v>
      </c>
      <c r="D71" s="126" t="s">
        <v>319</v>
      </c>
      <c r="E71" s="126" t="s">
        <v>319</v>
      </c>
      <c r="F71" s="126" t="s">
        <v>319</v>
      </c>
      <c r="G71" s="95">
        <f>(36*0.96)</f>
        <v>34.56</v>
      </c>
      <c r="H71" s="127">
        <f>(324*0.96)</f>
        <v>311.03999999999996</v>
      </c>
      <c r="I71" s="126" t="s">
        <v>319</v>
      </c>
      <c r="K71" s="114">
        <v>200</v>
      </c>
      <c r="L71" s="114">
        <v>525</v>
      </c>
      <c r="M71" s="114">
        <v>100</v>
      </c>
      <c r="N71" s="114">
        <v>325</v>
      </c>
      <c r="O71" s="114">
        <v>75</v>
      </c>
      <c r="P71" s="114">
        <v>400</v>
      </c>
      <c r="Q71" s="126" t="s">
        <v>319</v>
      </c>
      <c r="S71" s="122">
        <v>1440</v>
      </c>
      <c r="T71" s="122">
        <v>480</v>
      </c>
      <c r="U71" s="126" t="s">
        <v>319</v>
      </c>
      <c r="V71" s="122">
        <v>500</v>
      </c>
      <c r="W71" s="122">
        <v>100</v>
      </c>
      <c r="X71" s="122">
        <v>3840</v>
      </c>
      <c r="Y71" s="126" t="s">
        <v>319</v>
      </c>
    </row>
    <row r="72" spans="1:25" ht="14.25" x14ac:dyDescent="0.2">
      <c r="A72" s="22">
        <v>61</v>
      </c>
      <c r="B72" s="42" t="s">
        <v>150</v>
      </c>
      <c r="C72" s="126" t="s">
        <v>319</v>
      </c>
      <c r="D72" s="126" t="s">
        <v>319</v>
      </c>
      <c r="E72" s="126" t="s">
        <v>319</v>
      </c>
      <c r="F72" s="126" t="s">
        <v>319</v>
      </c>
      <c r="G72" s="95">
        <f>(63*0.96)</f>
        <v>60.48</v>
      </c>
      <c r="H72" s="95">
        <f>(567*0.96)</f>
        <v>544.31999999999994</v>
      </c>
      <c r="I72" s="126" t="s">
        <v>319</v>
      </c>
      <c r="K72" s="114">
        <v>200</v>
      </c>
      <c r="L72" s="114">
        <v>334</v>
      </c>
      <c r="M72" s="114">
        <v>100</v>
      </c>
      <c r="N72" s="114">
        <v>325</v>
      </c>
      <c r="O72" s="114">
        <v>140</v>
      </c>
      <c r="P72" s="114">
        <v>505</v>
      </c>
      <c r="Q72" s="126" t="s">
        <v>319</v>
      </c>
      <c r="S72" s="122">
        <v>540</v>
      </c>
      <c r="T72" s="122">
        <v>180</v>
      </c>
      <c r="U72" s="126" t="s">
        <v>319</v>
      </c>
      <c r="V72" s="122">
        <v>500</v>
      </c>
      <c r="W72" s="122">
        <v>100</v>
      </c>
      <c r="X72" s="122">
        <v>480</v>
      </c>
      <c r="Y72" s="126" t="s">
        <v>319</v>
      </c>
    </row>
    <row r="73" spans="1:25" ht="14.25" x14ac:dyDescent="0.2">
      <c r="A73" s="22">
        <v>62</v>
      </c>
      <c r="B73" s="42" t="s">
        <v>151</v>
      </c>
      <c r="C73" s="95">
        <f>(225*0.96)</f>
        <v>216</v>
      </c>
      <c r="D73" s="95">
        <f>(675*0.96)</f>
        <v>648</v>
      </c>
      <c r="E73" s="126" t="s">
        <v>319</v>
      </c>
      <c r="F73" s="127">
        <f t="shared" ref="F73:F75" si="37">(300*0.96)</f>
        <v>288</v>
      </c>
      <c r="G73" s="95">
        <f>(108*0.96)</f>
        <v>103.67999999999999</v>
      </c>
      <c r="H73" s="95">
        <f>(972*0.96)</f>
        <v>933.12</v>
      </c>
      <c r="I73" s="126" t="s">
        <v>319</v>
      </c>
      <c r="K73" s="114">
        <v>275</v>
      </c>
      <c r="L73" s="114">
        <v>1500</v>
      </c>
      <c r="M73" s="126" t="s">
        <v>319</v>
      </c>
      <c r="N73" s="114">
        <v>325</v>
      </c>
      <c r="O73" s="114">
        <v>110</v>
      </c>
      <c r="P73" s="114">
        <v>1240</v>
      </c>
      <c r="Q73" s="126" t="s">
        <v>319</v>
      </c>
      <c r="S73" s="122">
        <v>360</v>
      </c>
      <c r="T73" s="122">
        <v>120</v>
      </c>
      <c r="U73" s="126" t="s">
        <v>319</v>
      </c>
      <c r="V73" s="122">
        <v>600</v>
      </c>
      <c r="W73" s="122">
        <v>100</v>
      </c>
      <c r="X73" s="122">
        <v>960</v>
      </c>
      <c r="Y73" s="126" t="s">
        <v>319</v>
      </c>
    </row>
    <row r="74" spans="1:25" ht="14.25" x14ac:dyDescent="0.2">
      <c r="A74" s="22">
        <v>63</v>
      </c>
      <c r="B74" s="43" t="s">
        <v>152</v>
      </c>
      <c r="C74" s="95">
        <f>(104*0.96)</f>
        <v>99.84</v>
      </c>
      <c r="D74" s="95">
        <f>(311*0.96)</f>
        <v>298.56</v>
      </c>
      <c r="E74" s="126" t="s">
        <v>319</v>
      </c>
      <c r="F74" s="127">
        <f t="shared" si="37"/>
        <v>288</v>
      </c>
      <c r="G74" s="95">
        <f>(30*0.96)</f>
        <v>28.799999999999997</v>
      </c>
      <c r="H74" s="95">
        <f>(270*0.96)</f>
        <v>259.2</v>
      </c>
      <c r="I74" s="126" t="s">
        <v>319</v>
      </c>
      <c r="K74" s="114">
        <v>200</v>
      </c>
      <c r="L74" s="114">
        <v>210</v>
      </c>
      <c r="M74" s="126" t="s">
        <v>319</v>
      </c>
      <c r="N74" s="114">
        <v>325</v>
      </c>
      <c r="O74" s="114">
        <v>155</v>
      </c>
      <c r="P74" s="114">
        <v>390</v>
      </c>
      <c r="Q74" s="126" t="s">
        <v>319</v>
      </c>
      <c r="S74" s="122">
        <v>450</v>
      </c>
      <c r="T74" s="122">
        <v>150</v>
      </c>
      <c r="U74" s="126" t="s">
        <v>319</v>
      </c>
      <c r="V74" s="122">
        <v>500</v>
      </c>
      <c r="W74" s="122">
        <v>100</v>
      </c>
      <c r="X74" s="122">
        <v>240</v>
      </c>
      <c r="Y74" s="126" t="s">
        <v>319</v>
      </c>
    </row>
    <row r="75" spans="1:25" ht="14.25" x14ac:dyDescent="0.2">
      <c r="A75" s="22">
        <v>64</v>
      </c>
      <c r="B75" s="42" t="s">
        <v>153</v>
      </c>
      <c r="C75" s="95">
        <f>(107*0.96)</f>
        <v>102.72</v>
      </c>
      <c r="D75" s="95">
        <f>(323*0.96)</f>
        <v>310.08</v>
      </c>
      <c r="E75" s="126" t="s">
        <v>319</v>
      </c>
      <c r="F75" s="127">
        <f t="shared" si="37"/>
        <v>288</v>
      </c>
      <c r="G75" s="95">
        <f>(20*0.96)</f>
        <v>19.2</v>
      </c>
      <c r="H75" s="95">
        <f>(180*0.96)</f>
        <v>172.79999999999998</v>
      </c>
      <c r="I75" s="126" t="s">
        <v>319</v>
      </c>
      <c r="K75" s="114" t="s">
        <v>319</v>
      </c>
      <c r="L75" s="114" t="s">
        <v>319</v>
      </c>
      <c r="M75" s="114" t="s">
        <v>319</v>
      </c>
      <c r="N75" s="114" t="s">
        <v>319</v>
      </c>
      <c r="O75" s="114">
        <v>175</v>
      </c>
      <c r="P75" s="114">
        <v>190</v>
      </c>
      <c r="Q75" s="126" t="s">
        <v>319</v>
      </c>
      <c r="S75" s="122">
        <v>180</v>
      </c>
      <c r="T75" s="122">
        <v>60</v>
      </c>
      <c r="U75" s="126" t="s">
        <v>319</v>
      </c>
      <c r="V75" s="122">
        <v>500</v>
      </c>
      <c r="W75" s="122">
        <v>100</v>
      </c>
      <c r="X75" s="122">
        <v>240</v>
      </c>
      <c r="Y75" s="126" t="s">
        <v>319</v>
      </c>
    </row>
    <row r="76" spans="1:25" ht="14.25" x14ac:dyDescent="0.2">
      <c r="A76" s="22">
        <v>65</v>
      </c>
      <c r="B76" s="43" t="s">
        <v>154</v>
      </c>
      <c r="C76" s="126" t="s">
        <v>319</v>
      </c>
      <c r="D76" s="126" t="s">
        <v>319</v>
      </c>
      <c r="E76" s="126" t="s">
        <v>319</v>
      </c>
      <c r="F76" s="126" t="s">
        <v>319</v>
      </c>
      <c r="G76" s="95">
        <f>(36*0.96)</f>
        <v>34.56</v>
      </c>
      <c r="H76" s="95">
        <f>(324*0.96)</f>
        <v>311.03999999999996</v>
      </c>
      <c r="I76" s="126" t="s">
        <v>319</v>
      </c>
      <c r="K76" s="114" t="s">
        <v>319</v>
      </c>
      <c r="L76" s="114" t="s">
        <v>319</v>
      </c>
      <c r="M76" s="114" t="s">
        <v>319</v>
      </c>
      <c r="N76" s="114" t="s">
        <v>319</v>
      </c>
      <c r="O76" s="114">
        <v>75</v>
      </c>
      <c r="P76" s="114">
        <v>400</v>
      </c>
      <c r="Q76" s="126" t="s">
        <v>319</v>
      </c>
      <c r="S76" s="122">
        <v>180</v>
      </c>
      <c r="T76" s="122">
        <v>60</v>
      </c>
      <c r="U76" s="126" t="s">
        <v>319</v>
      </c>
      <c r="V76" s="122">
        <v>500</v>
      </c>
      <c r="W76" s="122">
        <v>100</v>
      </c>
      <c r="X76" s="122">
        <v>360</v>
      </c>
      <c r="Y76" s="126" t="s">
        <v>319</v>
      </c>
    </row>
    <row r="77" spans="1:25" ht="14.25" x14ac:dyDescent="0.2">
      <c r="A77" s="22">
        <v>66</v>
      </c>
      <c r="B77" s="42" t="s">
        <v>155</v>
      </c>
      <c r="C77" s="126" t="s">
        <v>319</v>
      </c>
      <c r="D77" s="126" t="s">
        <v>319</v>
      </c>
      <c r="E77" s="126" t="s">
        <v>319</v>
      </c>
      <c r="F77" s="126" t="s">
        <v>319</v>
      </c>
      <c r="G77" s="95">
        <f>(45*0.96)</f>
        <v>43.199999999999996</v>
      </c>
      <c r="H77" s="95">
        <f>(405*0.96)</f>
        <v>388.8</v>
      </c>
      <c r="I77" s="126" t="s">
        <v>319</v>
      </c>
      <c r="K77" s="114" t="s">
        <v>319</v>
      </c>
      <c r="L77" s="114" t="s">
        <v>319</v>
      </c>
      <c r="M77" s="114" t="s">
        <v>319</v>
      </c>
      <c r="N77" s="114" t="s">
        <v>319</v>
      </c>
      <c r="O77" s="114">
        <v>75</v>
      </c>
      <c r="P77" s="114">
        <v>180</v>
      </c>
      <c r="Q77" s="126" t="s">
        <v>319</v>
      </c>
      <c r="S77" s="122">
        <v>360</v>
      </c>
      <c r="T77" s="122">
        <v>120</v>
      </c>
      <c r="U77" s="126" t="s">
        <v>319</v>
      </c>
      <c r="V77" s="122">
        <v>500</v>
      </c>
      <c r="W77" s="122">
        <v>75</v>
      </c>
      <c r="X77" s="122">
        <v>120</v>
      </c>
      <c r="Y77" s="126" t="s">
        <v>319</v>
      </c>
    </row>
    <row r="78" spans="1:25" ht="18" customHeight="1" x14ac:dyDescent="0.2">
      <c r="A78" s="22">
        <v>67</v>
      </c>
      <c r="B78" s="42" t="s">
        <v>156</v>
      </c>
      <c r="C78" s="126" t="s">
        <v>319</v>
      </c>
      <c r="D78" s="126" t="s">
        <v>319</v>
      </c>
      <c r="E78" s="126" t="s">
        <v>319</v>
      </c>
      <c r="F78" s="126" t="s">
        <v>319</v>
      </c>
      <c r="G78" s="95">
        <f>(36*0.96)</f>
        <v>34.56</v>
      </c>
      <c r="H78" s="95">
        <f>(324*0.96)</f>
        <v>311.03999999999996</v>
      </c>
      <c r="I78" s="126" t="s">
        <v>319</v>
      </c>
      <c r="K78" s="114">
        <v>150</v>
      </c>
      <c r="L78" s="114">
        <v>350</v>
      </c>
      <c r="M78" s="114">
        <v>100</v>
      </c>
      <c r="N78" s="114">
        <v>325</v>
      </c>
      <c r="O78" s="114">
        <v>75</v>
      </c>
      <c r="P78" s="114">
        <v>155</v>
      </c>
      <c r="Q78" s="126" t="s">
        <v>319</v>
      </c>
      <c r="S78" s="122">
        <v>540</v>
      </c>
      <c r="T78" s="122">
        <v>180</v>
      </c>
      <c r="U78" s="122">
        <v>120</v>
      </c>
      <c r="V78" s="126" t="s">
        <v>319</v>
      </c>
      <c r="W78" s="122">
        <v>75</v>
      </c>
      <c r="X78" s="122">
        <v>120</v>
      </c>
      <c r="Y78" s="122">
        <v>60</v>
      </c>
    </row>
    <row r="79" spans="1:25" x14ac:dyDescent="0.15">
      <c r="A79" s="22"/>
      <c r="B79" s="37"/>
      <c r="C79" s="97"/>
      <c r="D79" s="97"/>
      <c r="E79" s="97"/>
      <c r="F79" s="97"/>
      <c r="G79" s="97"/>
      <c r="H79" s="97"/>
      <c r="K79" s="97"/>
      <c r="L79" s="97"/>
      <c r="M79" s="97"/>
      <c r="N79" s="97"/>
      <c r="O79" s="97"/>
      <c r="P79" s="97"/>
      <c r="Q79" s="97"/>
    </row>
    <row r="80" spans="1:25" ht="15.75" x14ac:dyDescent="0.25">
      <c r="A80" s="22"/>
      <c r="B80" s="49" t="s">
        <v>2</v>
      </c>
      <c r="C80" s="95">
        <v>3677.76</v>
      </c>
      <c r="D80" s="95">
        <v>11297.28</v>
      </c>
      <c r="E80" s="126" t="s">
        <v>319</v>
      </c>
      <c r="F80" s="95">
        <v>8352</v>
      </c>
      <c r="G80" s="95">
        <v>4941.12</v>
      </c>
      <c r="H80" s="95">
        <v>43293.120000000003</v>
      </c>
      <c r="I80" s="126" t="s">
        <v>319</v>
      </c>
      <c r="K80" s="95">
        <v>7150</v>
      </c>
      <c r="L80" s="95">
        <v>15144</v>
      </c>
      <c r="M80" s="95">
        <v>800</v>
      </c>
      <c r="N80" s="95">
        <v>12025</v>
      </c>
      <c r="O80" s="95">
        <v>8070</v>
      </c>
      <c r="P80" s="95">
        <v>35865</v>
      </c>
      <c r="Q80" s="126" t="s">
        <v>319</v>
      </c>
      <c r="S80" s="121">
        <v>19050</v>
      </c>
      <c r="T80" s="121">
        <v>6390</v>
      </c>
      <c r="U80" s="121">
        <v>240</v>
      </c>
      <c r="V80" s="121">
        <v>19100</v>
      </c>
      <c r="W80" s="121">
        <v>6055</v>
      </c>
      <c r="X80" s="121">
        <v>37770</v>
      </c>
      <c r="Y80" s="121">
        <v>720</v>
      </c>
    </row>
    <row r="81" spans="1:21" x14ac:dyDescent="0.15">
      <c r="A81" s="22"/>
      <c r="C81" s="97"/>
      <c r="D81" s="97"/>
      <c r="E81" s="97"/>
      <c r="F81" s="97"/>
      <c r="G81" s="97"/>
      <c r="H81" s="97"/>
      <c r="K81" s="97"/>
      <c r="L81" s="97"/>
      <c r="M81" s="97"/>
      <c r="N81" s="97"/>
      <c r="O81" s="97"/>
      <c r="P81" s="97"/>
      <c r="Q81" s="97"/>
    </row>
    <row r="82" spans="1:21" x14ac:dyDescent="0.15">
      <c r="A82" s="22"/>
      <c r="C82" s="97" t="s">
        <v>292</v>
      </c>
      <c r="D82" s="97"/>
      <c r="E82" s="97"/>
      <c r="F82" s="97"/>
      <c r="G82" s="97"/>
      <c r="H82" s="97"/>
      <c r="K82" s="97"/>
      <c r="L82" s="97"/>
      <c r="M82" s="97"/>
      <c r="N82" s="97"/>
      <c r="O82" s="97"/>
      <c r="P82" s="97"/>
      <c r="Q82" s="97"/>
    </row>
    <row r="83" spans="1:21" ht="15" x14ac:dyDescent="0.25">
      <c r="A83" s="22"/>
      <c r="B83" s="3" t="s">
        <v>4</v>
      </c>
      <c r="C83" s="107" t="s">
        <v>5</v>
      </c>
      <c r="D83" s="107" t="s">
        <v>6</v>
      </c>
      <c r="E83" s="108" t="s">
        <v>7</v>
      </c>
      <c r="F83" s="97"/>
      <c r="G83" s="97"/>
      <c r="H83" s="97"/>
      <c r="K83" s="107" t="s">
        <v>5</v>
      </c>
      <c r="L83" s="107" t="s">
        <v>6</v>
      </c>
      <c r="M83" s="108" t="s">
        <v>7</v>
      </c>
      <c r="N83" s="97"/>
      <c r="O83" s="97"/>
      <c r="P83" s="97"/>
      <c r="Q83" s="97"/>
      <c r="S83" s="4" t="s">
        <v>5</v>
      </c>
      <c r="T83" s="4" t="s">
        <v>6</v>
      </c>
      <c r="U83" s="10" t="s">
        <v>7</v>
      </c>
    </row>
    <row r="84" spans="1:21" ht="14.25" x14ac:dyDescent="0.2">
      <c r="A84" s="22"/>
      <c r="B84" s="3"/>
      <c r="C84" s="95">
        <v>185</v>
      </c>
      <c r="D84" s="127">
        <v>185</v>
      </c>
      <c r="E84" s="95">
        <v>150</v>
      </c>
      <c r="F84" s="97"/>
      <c r="G84" s="97"/>
      <c r="H84" s="97"/>
      <c r="K84" s="95">
        <v>176.44</v>
      </c>
      <c r="L84" s="95">
        <v>176.44</v>
      </c>
      <c r="M84" s="95">
        <v>143.16</v>
      </c>
      <c r="N84" s="97"/>
      <c r="O84" s="97"/>
      <c r="P84" s="97"/>
      <c r="Q84" s="97"/>
      <c r="S84" s="120">
        <v>180</v>
      </c>
      <c r="T84" s="120">
        <v>240</v>
      </c>
      <c r="U84" s="120">
        <v>180</v>
      </c>
    </row>
    <row r="85" spans="1:21" ht="14.25" x14ac:dyDescent="0.2">
      <c r="A85" s="22"/>
      <c r="B85" s="3"/>
    </row>
    <row r="86" spans="1:21" ht="14.25" x14ac:dyDescent="0.2">
      <c r="A86" s="22"/>
      <c r="B86" s="3" t="s">
        <v>10</v>
      </c>
      <c r="C86" s="216" t="s">
        <v>310</v>
      </c>
      <c r="D86" s="217"/>
      <c r="E86" s="218"/>
      <c r="K86" s="216"/>
      <c r="L86" s="217"/>
      <c r="M86" s="218"/>
      <c r="S86" s="223" t="s">
        <v>327</v>
      </c>
      <c r="T86" s="224"/>
      <c r="U86" s="225"/>
    </row>
    <row r="87" spans="1:21" ht="14.25" x14ac:dyDescent="0.2">
      <c r="A87" s="22"/>
      <c r="B87" s="3"/>
      <c r="C87" s="216" t="s">
        <v>315</v>
      </c>
      <c r="D87" s="217"/>
      <c r="E87" s="218"/>
      <c r="K87" s="216"/>
      <c r="L87" s="217"/>
      <c r="M87" s="218"/>
      <c r="S87" s="223" t="s">
        <v>328</v>
      </c>
      <c r="T87" s="224"/>
      <c r="U87" s="225"/>
    </row>
    <row r="88" spans="1:21" ht="14.25" x14ac:dyDescent="0.2">
      <c r="A88" s="22"/>
      <c r="B88" s="3"/>
      <c r="C88" s="216" t="s">
        <v>316</v>
      </c>
      <c r="D88" s="217"/>
      <c r="E88" s="218"/>
      <c r="K88" s="216"/>
      <c r="L88" s="217"/>
      <c r="M88" s="218"/>
      <c r="S88" s="223" t="s">
        <v>329</v>
      </c>
      <c r="T88" s="224"/>
      <c r="U88" s="225"/>
    </row>
    <row r="89" spans="1:21" ht="14.25" x14ac:dyDescent="0.2">
      <c r="A89" s="22"/>
      <c r="B89" s="3"/>
      <c r="C89" s="216" t="s">
        <v>312</v>
      </c>
      <c r="D89" s="217"/>
      <c r="E89" s="218"/>
      <c r="K89" s="216"/>
      <c r="L89" s="217"/>
      <c r="M89" s="218"/>
      <c r="S89" s="223" t="s">
        <v>330</v>
      </c>
      <c r="T89" s="224"/>
      <c r="U89" s="225"/>
    </row>
    <row r="90" spans="1:21" ht="14.25" x14ac:dyDescent="0.2">
      <c r="A90" s="22"/>
      <c r="B90" s="3"/>
      <c r="C90" s="216" t="s">
        <v>317</v>
      </c>
      <c r="D90" s="217"/>
      <c r="E90" s="218"/>
      <c r="K90" s="216"/>
      <c r="L90" s="217"/>
      <c r="M90" s="218"/>
      <c r="S90" s="216"/>
      <c r="T90" s="217"/>
      <c r="U90" s="218"/>
    </row>
    <row r="91" spans="1:21" x14ac:dyDescent="0.15">
      <c r="A91" s="22"/>
    </row>
    <row r="92" spans="1:21" x14ac:dyDescent="0.15">
      <c r="A92" s="22"/>
    </row>
    <row r="93" spans="1:21" x14ac:dyDescent="0.15">
      <c r="A93" s="22"/>
    </row>
    <row r="94" spans="1:21" x14ac:dyDescent="0.15">
      <c r="A94" s="22"/>
      <c r="B94" s="155"/>
      <c r="C94" s="156"/>
      <c r="D94" s="156"/>
      <c r="E94" s="156"/>
    </row>
    <row r="95" spans="1:21" x14ac:dyDescent="0.15">
      <c r="A95" s="22"/>
      <c r="B95" s="155"/>
      <c r="C95" s="156"/>
      <c r="D95" s="156"/>
      <c r="E95" s="156"/>
    </row>
    <row r="96" spans="1:21" x14ac:dyDescent="0.15">
      <c r="A96" s="22"/>
      <c r="B96" s="155"/>
      <c r="C96" s="156"/>
      <c r="D96" s="156"/>
      <c r="E96" s="156"/>
    </row>
    <row r="97" spans="1:5" x14ac:dyDescent="0.15">
      <c r="A97" s="22"/>
      <c r="B97" s="155"/>
      <c r="C97" s="156"/>
      <c r="D97" s="156"/>
      <c r="E97" s="156"/>
    </row>
  </sheetData>
  <mergeCells count="34">
    <mergeCell ref="S8:W8"/>
    <mergeCell ref="K3:O3"/>
    <mergeCell ref="K4:O4"/>
    <mergeCell ref="K5:O5"/>
    <mergeCell ref="K8:O8"/>
    <mergeCell ref="S3:W3"/>
    <mergeCell ref="S4:W4"/>
    <mergeCell ref="S5:W5"/>
    <mergeCell ref="K6:O6"/>
    <mergeCell ref="K7:O7"/>
    <mergeCell ref="S6:W6"/>
    <mergeCell ref="S7:W7"/>
    <mergeCell ref="K86:M86"/>
    <mergeCell ref="K87:M87"/>
    <mergeCell ref="K88:M88"/>
    <mergeCell ref="K89:M89"/>
    <mergeCell ref="K90:M90"/>
    <mergeCell ref="S90:U90"/>
    <mergeCell ref="S87:U87"/>
    <mergeCell ref="S88:U88"/>
    <mergeCell ref="S89:U89"/>
    <mergeCell ref="S86:U86"/>
    <mergeCell ref="C87:E87"/>
    <mergeCell ref="C88:E88"/>
    <mergeCell ref="C89:E89"/>
    <mergeCell ref="C90:E90"/>
    <mergeCell ref="C86:E86"/>
    <mergeCell ref="B1:G1"/>
    <mergeCell ref="C3:G3"/>
    <mergeCell ref="C4:G4"/>
    <mergeCell ref="C5:G5"/>
    <mergeCell ref="C8:G8"/>
    <mergeCell ref="C6:G6"/>
    <mergeCell ref="C7:G7"/>
  </mergeCells>
  <pageMargins left="0.7" right="0.7" top="0.75" bottom="0.75" header="0.3" footer="0.3"/>
  <pageSetup scale="96" orientation="portrait" verticalDpi="90" r:id="rId1"/>
  <rowBreaks count="1" manualBreakCount="1">
    <brk id="41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AE87"/>
  <sheetViews>
    <sheetView topLeftCell="A34" zoomScale="110" zoomScaleNormal="110" workbookViewId="0">
      <selection activeCell="A62" sqref="A62"/>
    </sheetView>
  </sheetViews>
  <sheetFormatPr defaultRowHeight="12" x14ac:dyDescent="0.15"/>
  <cols>
    <col min="1" max="1" width="5.625" customWidth="1"/>
    <col min="2" max="2" width="43.625" customWidth="1"/>
    <col min="3" max="3" width="15.25" customWidth="1"/>
    <col min="4" max="4" width="13.75" customWidth="1"/>
    <col min="5" max="5" width="11.75" customWidth="1"/>
    <col min="9" max="9" width="13.625" bestFit="1" customWidth="1"/>
    <col min="10" max="10" width="11.375" customWidth="1"/>
    <col min="15" max="15" width="11.125" customWidth="1"/>
    <col min="16" max="16" width="8.25" bestFit="1" customWidth="1"/>
    <col min="17" max="17" width="11" customWidth="1"/>
    <col min="25" max="25" width="12.375" customWidth="1"/>
    <col min="26" max="26" width="11.625" customWidth="1"/>
  </cols>
  <sheetData>
    <row r="1" spans="1:31" ht="18" x14ac:dyDescent="0.25">
      <c r="B1" s="214"/>
      <c r="C1" s="215"/>
      <c r="D1" s="215"/>
      <c r="E1" s="215"/>
      <c r="F1" s="215"/>
      <c r="G1" s="215"/>
    </row>
    <row r="2" spans="1:31" ht="18" x14ac:dyDescent="0.25">
      <c r="B2" s="19"/>
    </row>
    <row r="3" spans="1:31" ht="18" x14ac:dyDescent="0.25">
      <c r="B3" s="23"/>
      <c r="C3" s="212" t="s">
        <v>305</v>
      </c>
      <c r="D3" s="212"/>
      <c r="E3" s="212"/>
      <c r="F3" s="212"/>
      <c r="G3" s="212"/>
      <c r="M3" s="212" t="s">
        <v>425</v>
      </c>
      <c r="N3" s="213"/>
      <c r="O3" s="213"/>
      <c r="P3" s="213"/>
      <c r="Q3" s="213"/>
      <c r="W3" s="212" t="s">
        <v>426</v>
      </c>
      <c r="X3" s="213"/>
      <c r="Y3" s="213"/>
      <c r="Z3" s="213"/>
      <c r="AA3" s="213"/>
    </row>
    <row r="4" spans="1:31" ht="18" x14ac:dyDescent="0.25">
      <c r="B4" s="23"/>
      <c r="C4" s="212" t="s">
        <v>408</v>
      </c>
      <c r="D4" s="212"/>
      <c r="E4" s="212"/>
      <c r="F4" s="212"/>
      <c r="G4" s="212"/>
      <c r="M4" s="212" t="s">
        <v>416</v>
      </c>
      <c r="N4" s="213"/>
      <c r="O4" s="213"/>
      <c r="P4" s="213"/>
      <c r="Q4" s="213"/>
      <c r="W4" s="212" t="s">
        <v>427</v>
      </c>
      <c r="X4" s="213"/>
      <c r="Y4" s="213"/>
      <c r="Z4" s="213"/>
      <c r="AA4" s="213"/>
    </row>
    <row r="5" spans="1:31" ht="19.350000000000001" customHeight="1" x14ac:dyDescent="0.25">
      <c r="B5" s="47" t="s">
        <v>208</v>
      </c>
      <c r="C5" s="212" t="s">
        <v>409</v>
      </c>
      <c r="D5" s="212"/>
      <c r="E5" s="212"/>
      <c r="F5" s="212"/>
      <c r="G5" s="212"/>
      <c r="M5" s="212" t="s">
        <v>417</v>
      </c>
      <c r="N5" s="213"/>
      <c r="O5" s="213"/>
      <c r="P5" s="213"/>
      <c r="Q5" s="213"/>
      <c r="W5" s="212" t="s">
        <v>432</v>
      </c>
      <c r="X5" s="213"/>
      <c r="Y5" s="213"/>
      <c r="Z5" s="213"/>
      <c r="AA5" s="213"/>
    </row>
    <row r="6" spans="1:31" ht="17.45" customHeight="1" x14ac:dyDescent="0.25">
      <c r="B6" s="21"/>
      <c r="C6" s="212" t="s">
        <v>410</v>
      </c>
      <c r="D6" s="212"/>
      <c r="E6" s="212"/>
      <c r="F6" s="212"/>
      <c r="G6" s="212"/>
      <c r="M6" s="212" t="s">
        <v>418</v>
      </c>
      <c r="N6" s="213"/>
      <c r="O6" s="213"/>
      <c r="P6" s="213"/>
      <c r="Q6" s="213"/>
      <c r="W6" s="212" t="s">
        <v>429</v>
      </c>
      <c r="X6" s="213"/>
      <c r="Y6" s="213"/>
      <c r="Z6" s="213"/>
      <c r="AA6" s="213"/>
    </row>
    <row r="7" spans="1:31" ht="16.7" customHeight="1" x14ac:dyDescent="0.25">
      <c r="B7" s="21"/>
      <c r="C7" s="219" t="s">
        <v>411</v>
      </c>
      <c r="D7" s="227"/>
      <c r="E7" s="227"/>
      <c r="F7" s="227"/>
      <c r="G7" s="228"/>
      <c r="M7" s="219" t="s">
        <v>419</v>
      </c>
      <c r="N7" s="220"/>
      <c r="O7" s="220"/>
      <c r="P7" s="220"/>
      <c r="Q7" s="221"/>
      <c r="W7" s="219" t="s">
        <v>430</v>
      </c>
      <c r="X7" s="220"/>
      <c r="Y7" s="220"/>
      <c r="Z7" s="220"/>
      <c r="AA7" s="221"/>
    </row>
    <row r="8" spans="1:31" ht="19.350000000000001" customHeight="1" x14ac:dyDescent="0.25">
      <c r="B8" s="23"/>
      <c r="C8" s="212" t="s">
        <v>412</v>
      </c>
      <c r="D8" s="212"/>
      <c r="E8" s="212"/>
      <c r="F8" s="212"/>
      <c r="G8" s="212"/>
      <c r="M8" s="212" t="s">
        <v>420</v>
      </c>
      <c r="N8" s="213"/>
      <c r="O8" s="213"/>
      <c r="P8" s="213"/>
      <c r="Q8" s="213"/>
      <c r="W8" s="212" t="s">
        <v>431</v>
      </c>
      <c r="X8" s="213"/>
      <c r="Y8" s="213"/>
      <c r="Z8" s="213"/>
      <c r="AA8" s="213"/>
    </row>
    <row r="9" spans="1:31" ht="18" x14ac:dyDescent="0.25">
      <c r="B9" s="20"/>
    </row>
    <row r="10" spans="1:31" ht="18.95" customHeight="1" x14ac:dyDescent="0.25">
      <c r="B10" s="47" t="s">
        <v>292</v>
      </c>
      <c r="C10" s="77"/>
      <c r="D10" s="222" t="s">
        <v>293</v>
      </c>
      <c r="E10" s="222"/>
      <c r="F10" s="80"/>
      <c r="G10" s="78" t="s">
        <v>299</v>
      </c>
      <c r="H10" s="81"/>
      <c r="I10" s="82" t="s">
        <v>300</v>
      </c>
      <c r="J10" s="92" t="s">
        <v>302</v>
      </c>
      <c r="K10" s="83" t="s">
        <v>292</v>
      </c>
      <c r="M10" s="77"/>
      <c r="N10" s="222" t="s">
        <v>293</v>
      </c>
      <c r="O10" s="222"/>
      <c r="P10" s="80"/>
      <c r="Q10" s="78" t="s">
        <v>299</v>
      </c>
      <c r="R10" s="81"/>
      <c r="S10" s="82" t="s">
        <v>300</v>
      </c>
      <c r="T10" s="92" t="s">
        <v>302</v>
      </c>
      <c r="U10" s="83" t="s">
        <v>292</v>
      </c>
      <c r="W10" s="77"/>
      <c r="X10" s="222" t="s">
        <v>293</v>
      </c>
      <c r="Y10" s="222"/>
      <c r="Z10" s="80"/>
      <c r="AA10" s="78" t="s">
        <v>299</v>
      </c>
      <c r="AB10" s="81"/>
      <c r="AC10" s="82" t="s">
        <v>300</v>
      </c>
      <c r="AD10" s="92" t="s">
        <v>302</v>
      </c>
      <c r="AE10" s="83" t="s">
        <v>292</v>
      </c>
    </row>
    <row r="11" spans="1:31" ht="77.099999999999994" customHeight="1" x14ac:dyDescent="0.25">
      <c r="B11" s="47" t="s">
        <v>17</v>
      </c>
      <c r="C11" s="85" t="s">
        <v>294</v>
      </c>
      <c r="D11" s="86" t="s">
        <v>295</v>
      </c>
      <c r="E11" s="86" t="s">
        <v>296</v>
      </c>
      <c r="F11" s="75" t="s">
        <v>297</v>
      </c>
      <c r="G11" s="73" t="s">
        <v>298</v>
      </c>
      <c r="H11" s="73" t="s">
        <v>295</v>
      </c>
      <c r="I11" s="74" t="s">
        <v>301</v>
      </c>
      <c r="J11" s="76" t="s">
        <v>277</v>
      </c>
      <c r="K11" s="76" t="s">
        <v>276</v>
      </c>
      <c r="M11" s="85" t="s">
        <v>294</v>
      </c>
      <c r="N11" s="86" t="s">
        <v>295</v>
      </c>
      <c r="O11" s="86" t="s">
        <v>296</v>
      </c>
      <c r="P11" s="75" t="s">
        <v>297</v>
      </c>
      <c r="Q11" s="73" t="s">
        <v>298</v>
      </c>
      <c r="R11" s="73" t="s">
        <v>295</v>
      </c>
      <c r="S11" s="74" t="s">
        <v>301</v>
      </c>
      <c r="T11" s="76" t="s">
        <v>277</v>
      </c>
      <c r="U11" s="76" t="s">
        <v>276</v>
      </c>
      <c r="W11" s="85" t="s">
        <v>294</v>
      </c>
      <c r="X11" s="86" t="s">
        <v>295</v>
      </c>
      <c r="Y11" s="86" t="s">
        <v>296</v>
      </c>
      <c r="Z11" s="75" t="s">
        <v>297</v>
      </c>
      <c r="AA11" s="73" t="s">
        <v>298</v>
      </c>
      <c r="AB11" s="73" t="s">
        <v>295</v>
      </c>
      <c r="AC11" s="74" t="s">
        <v>301</v>
      </c>
      <c r="AD11" s="76" t="s">
        <v>277</v>
      </c>
      <c r="AE11" s="76" t="s">
        <v>276</v>
      </c>
    </row>
    <row r="12" spans="1:31" ht="14.25" x14ac:dyDescent="0.15">
      <c r="A12" s="22">
        <v>1</v>
      </c>
      <c r="B12" s="260" t="s">
        <v>157</v>
      </c>
      <c r="C12" s="126" t="s">
        <v>319</v>
      </c>
      <c r="D12" s="126" t="s">
        <v>319</v>
      </c>
      <c r="E12" s="126" t="s">
        <v>319</v>
      </c>
      <c r="F12" s="126" t="s">
        <v>319</v>
      </c>
      <c r="G12" s="126">
        <f>(67*0.96)</f>
        <v>64.319999999999993</v>
      </c>
      <c r="H12" s="126">
        <f>(608*0.96)</f>
        <v>583.67999999999995</v>
      </c>
      <c r="I12" s="126" t="s">
        <v>319</v>
      </c>
      <c r="J12" s="96"/>
      <c r="K12" s="96"/>
      <c r="M12" s="114" t="s">
        <v>319</v>
      </c>
      <c r="N12" s="114" t="s">
        <v>319</v>
      </c>
      <c r="O12" s="114" t="s">
        <v>319</v>
      </c>
      <c r="P12" s="114" t="s">
        <v>319</v>
      </c>
      <c r="Q12" s="114">
        <v>90</v>
      </c>
      <c r="R12" s="114">
        <v>240</v>
      </c>
      <c r="S12" s="126" t="s">
        <v>319</v>
      </c>
      <c r="T12" s="96"/>
      <c r="U12" s="96"/>
      <c r="W12" s="124" t="s">
        <v>319</v>
      </c>
      <c r="X12" s="124" t="s">
        <v>319</v>
      </c>
      <c r="Y12" s="126" t="s">
        <v>319</v>
      </c>
      <c r="Z12" s="126" t="s">
        <v>319</v>
      </c>
      <c r="AA12" s="124">
        <v>75</v>
      </c>
      <c r="AB12" s="124">
        <v>120</v>
      </c>
      <c r="AC12" s="126" t="s">
        <v>319</v>
      </c>
      <c r="AD12" s="117"/>
      <c r="AE12" s="117"/>
    </row>
    <row r="13" spans="1:31" ht="15" thickBot="1" x14ac:dyDescent="0.2">
      <c r="A13" s="22">
        <v>2</v>
      </c>
      <c r="B13" s="261" t="s">
        <v>158</v>
      </c>
      <c r="C13" s="126" t="s">
        <v>319</v>
      </c>
      <c r="D13" s="126" t="s">
        <v>319</v>
      </c>
      <c r="E13" s="126" t="s">
        <v>319</v>
      </c>
      <c r="F13" s="126" t="s">
        <v>319</v>
      </c>
      <c r="G13" s="126">
        <f t="shared" ref="G13:G14" si="0">(67*0.96)</f>
        <v>64.319999999999993</v>
      </c>
      <c r="H13" s="126">
        <f t="shared" ref="H13:H14" si="1">(608*0.96)</f>
        <v>583.67999999999995</v>
      </c>
      <c r="I13" s="126" t="s">
        <v>319</v>
      </c>
      <c r="J13" s="96"/>
      <c r="K13" s="96"/>
      <c r="M13" s="114" t="s">
        <v>319</v>
      </c>
      <c r="N13" s="114" t="s">
        <v>319</v>
      </c>
      <c r="O13" s="114" t="s">
        <v>319</v>
      </c>
      <c r="P13" s="114" t="s">
        <v>319</v>
      </c>
      <c r="Q13" s="114">
        <v>75</v>
      </c>
      <c r="R13" s="114">
        <v>220</v>
      </c>
      <c r="S13" s="126" t="s">
        <v>319</v>
      </c>
      <c r="T13" s="96"/>
      <c r="U13" s="96"/>
      <c r="W13" s="124" t="s">
        <v>319</v>
      </c>
      <c r="X13" s="124" t="s">
        <v>319</v>
      </c>
      <c r="Y13" s="126" t="s">
        <v>319</v>
      </c>
      <c r="Z13" s="126" t="s">
        <v>319</v>
      </c>
      <c r="AA13" s="124">
        <v>75</v>
      </c>
      <c r="AB13" s="124">
        <v>120</v>
      </c>
      <c r="AC13" s="126" t="s">
        <v>319</v>
      </c>
      <c r="AD13" s="117"/>
      <c r="AE13" s="117"/>
    </row>
    <row r="14" spans="1:31" ht="15" thickBot="1" x14ac:dyDescent="0.2">
      <c r="A14" s="22">
        <v>3</v>
      </c>
      <c r="B14" s="261" t="s">
        <v>159</v>
      </c>
      <c r="C14" s="126" t="s">
        <v>319</v>
      </c>
      <c r="D14" s="126" t="s">
        <v>319</v>
      </c>
      <c r="E14" s="126" t="s">
        <v>319</v>
      </c>
      <c r="F14" s="126" t="s">
        <v>319</v>
      </c>
      <c r="G14" s="126">
        <f t="shared" si="0"/>
        <v>64.319999999999993</v>
      </c>
      <c r="H14" s="126">
        <f t="shared" si="1"/>
        <v>583.67999999999995</v>
      </c>
      <c r="I14" s="126" t="s">
        <v>319</v>
      </c>
      <c r="J14" s="96"/>
      <c r="K14" s="96"/>
      <c r="M14" s="114" t="s">
        <v>319</v>
      </c>
      <c r="N14" s="114" t="s">
        <v>319</v>
      </c>
      <c r="O14" s="114" t="s">
        <v>319</v>
      </c>
      <c r="P14" s="114" t="s">
        <v>319</v>
      </c>
      <c r="Q14" s="114">
        <v>90</v>
      </c>
      <c r="R14" s="114">
        <v>300</v>
      </c>
      <c r="S14" s="126" t="s">
        <v>319</v>
      </c>
      <c r="T14" s="96"/>
      <c r="U14" s="96"/>
      <c r="W14" s="124" t="s">
        <v>319</v>
      </c>
      <c r="X14" s="124" t="s">
        <v>319</v>
      </c>
      <c r="Y14" s="126" t="s">
        <v>319</v>
      </c>
      <c r="Z14" s="126" t="s">
        <v>319</v>
      </c>
      <c r="AA14" s="124">
        <v>75</v>
      </c>
      <c r="AB14" s="124">
        <v>120</v>
      </c>
      <c r="AC14" s="126" t="s">
        <v>319</v>
      </c>
      <c r="AD14" s="117"/>
      <c r="AE14" s="117"/>
    </row>
    <row r="15" spans="1:31" ht="14.25" x14ac:dyDescent="0.15">
      <c r="A15" s="22">
        <v>4</v>
      </c>
      <c r="B15" s="259" t="s">
        <v>479</v>
      </c>
      <c r="C15" s="126">
        <f>(80*0.96)</f>
        <v>76.8</v>
      </c>
      <c r="D15" s="126">
        <f>(250*0.96)</f>
        <v>240</v>
      </c>
      <c r="E15" s="126" t="s">
        <v>319</v>
      </c>
      <c r="F15" s="126">
        <f>(300*0.96)</f>
        <v>288</v>
      </c>
      <c r="G15" s="126">
        <f>(50*0.96)</f>
        <v>48</v>
      </c>
      <c r="H15" s="126">
        <f>(425*0.96)</f>
        <v>408</v>
      </c>
      <c r="I15" s="126" t="s">
        <v>319</v>
      </c>
      <c r="J15" s="96"/>
      <c r="K15" s="96"/>
      <c r="M15" s="126">
        <v>175</v>
      </c>
      <c r="N15" s="126">
        <v>376</v>
      </c>
      <c r="O15" s="126">
        <v>100</v>
      </c>
      <c r="P15" s="126">
        <v>325</v>
      </c>
      <c r="Q15" s="114">
        <v>110</v>
      </c>
      <c r="R15" s="114">
        <v>530</v>
      </c>
      <c r="S15" s="126" t="s">
        <v>319</v>
      </c>
      <c r="T15" s="96"/>
      <c r="U15" s="96"/>
      <c r="W15" s="186">
        <v>360</v>
      </c>
      <c r="X15" s="186">
        <v>480</v>
      </c>
      <c r="Y15" s="126" t="s">
        <v>319</v>
      </c>
      <c r="Z15" s="186">
        <v>500</v>
      </c>
      <c r="AA15" s="126">
        <v>100</v>
      </c>
      <c r="AB15" s="126">
        <v>480</v>
      </c>
      <c r="AC15" s="126">
        <v>60</v>
      </c>
      <c r="AD15" s="117"/>
      <c r="AE15" s="117"/>
    </row>
    <row r="16" spans="1:31" ht="15" thickBot="1" x14ac:dyDescent="0.2">
      <c r="A16" s="22">
        <v>5</v>
      </c>
      <c r="B16" s="261" t="s">
        <v>160</v>
      </c>
      <c r="C16" s="126" t="s">
        <v>319</v>
      </c>
      <c r="D16" s="126" t="s">
        <v>319</v>
      </c>
      <c r="E16" s="126" t="s">
        <v>319</v>
      </c>
      <c r="F16" s="126" t="s">
        <v>319</v>
      </c>
      <c r="G16" s="126">
        <f>(26*0.96)</f>
        <v>24.96</v>
      </c>
      <c r="H16" s="126">
        <f>(234*0.96)</f>
        <v>224.64</v>
      </c>
      <c r="I16" s="126" t="s">
        <v>319</v>
      </c>
      <c r="J16" s="96"/>
      <c r="K16" s="96"/>
      <c r="M16" s="114" t="s">
        <v>319</v>
      </c>
      <c r="N16" s="114" t="s">
        <v>319</v>
      </c>
      <c r="O16" s="114" t="s">
        <v>319</v>
      </c>
      <c r="P16" s="114" t="s">
        <v>319</v>
      </c>
      <c r="Q16" s="114">
        <v>90</v>
      </c>
      <c r="R16" s="114">
        <v>180</v>
      </c>
      <c r="S16" s="126" t="s">
        <v>319</v>
      </c>
      <c r="T16" s="96"/>
      <c r="U16" s="96"/>
      <c r="W16" s="124" t="s">
        <v>319</v>
      </c>
      <c r="X16" s="124" t="s">
        <v>319</v>
      </c>
      <c r="Y16" s="126" t="s">
        <v>319</v>
      </c>
      <c r="Z16" s="126" t="s">
        <v>319</v>
      </c>
      <c r="AA16" s="124">
        <v>75</v>
      </c>
      <c r="AB16" s="124">
        <v>120</v>
      </c>
      <c r="AC16" s="126" t="s">
        <v>319</v>
      </c>
      <c r="AD16" s="117"/>
      <c r="AE16" s="117"/>
    </row>
    <row r="17" spans="1:31" ht="15" thickBot="1" x14ac:dyDescent="0.2">
      <c r="A17" s="22">
        <v>6</v>
      </c>
      <c r="B17" s="261" t="s">
        <v>161</v>
      </c>
      <c r="C17" s="126">
        <f>(181*0.96)</f>
        <v>173.76</v>
      </c>
      <c r="D17" s="126">
        <f>(544*0.96)</f>
        <v>522.24</v>
      </c>
      <c r="E17" s="126" t="s">
        <v>319</v>
      </c>
      <c r="F17" s="126">
        <f>(300*0.96)</f>
        <v>288</v>
      </c>
      <c r="G17" s="126">
        <f>(140*0.96)</f>
        <v>134.4</v>
      </c>
      <c r="H17" s="126">
        <f>(1260*0.96)</f>
        <v>1209.5999999999999</v>
      </c>
      <c r="I17" s="126" t="s">
        <v>319</v>
      </c>
      <c r="J17" s="96"/>
      <c r="K17" s="96"/>
      <c r="M17" s="114">
        <v>300</v>
      </c>
      <c r="N17" s="114">
        <v>750</v>
      </c>
      <c r="O17" s="114">
        <v>100</v>
      </c>
      <c r="P17" s="114">
        <v>325</v>
      </c>
      <c r="Q17" s="114">
        <v>225</v>
      </c>
      <c r="R17" s="114">
        <v>1685</v>
      </c>
      <c r="S17" s="126" t="s">
        <v>319</v>
      </c>
      <c r="T17" s="96"/>
      <c r="U17" s="96"/>
      <c r="W17" s="124">
        <v>720</v>
      </c>
      <c r="X17" s="124">
        <v>240</v>
      </c>
      <c r="Y17" s="124">
        <v>120</v>
      </c>
      <c r="Z17" s="124">
        <v>500</v>
      </c>
      <c r="AA17" s="124">
        <v>100</v>
      </c>
      <c r="AB17" s="124">
        <v>1440</v>
      </c>
      <c r="AC17" s="124">
        <v>60</v>
      </c>
      <c r="AD17" s="117"/>
      <c r="AE17" s="117"/>
    </row>
    <row r="18" spans="1:31" ht="15" thickBot="1" x14ac:dyDescent="0.2">
      <c r="A18" s="22">
        <v>7</v>
      </c>
      <c r="B18" s="261" t="s">
        <v>162</v>
      </c>
      <c r="C18" s="126">
        <f>(78*0.96)</f>
        <v>74.88</v>
      </c>
      <c r="D18" s="126">
        <f>(235*0.96)</f>
        <v>225.6</v>
      </c>
      <c r="E18" s="126" t="s">
        <v>319</v>
      </c>
      <c r="F18" s="126">
        <f t="shared" ref="F18:F23" si="2">(300*0.96)</f>
        <v>288</v>
      </c>
      <c r="G18" s="126">
        <f t="shared" ref="G18:G20" si="3">(67*0.96)</f>
        <v>64.319999999999993</v>
      </c>
      <c r="H18" s="126">
        <f>(608*0.96)</f>
        <v>583.67999999999995</v>
      </c>
      <c r="I18" s="126" t="s">
        <v>319</v>
      </c>
      <c r="J18" s="96"/>
      <c r="K18" s="96"/>
      <c r="M18" s="114">
        <v>175</v>
      </c>
      <c r="N18" s="114">
        <v>200</v>
      </c>
      <c r="O18" s="126" t="s">
        <v>319</v>
      </c>
      <c r="P18" s="114">
        <v>325</v>
      </c>
      <c r="Q18" s="114">
        <v>110</v>
      </c>
      <c r="R18" s="114">
        <v>425</v>
      </c>
      <c r="S18" s="126" t="s">
        <v>319</v>
      </c>
      <c r="T18" s="96"/>
      <c r="U18" s="96"/>
      <c r="W18" s="124">
        <v>360</v>
      </c>
      <c r="X18" s="124">
        <v>120</v>
      </c>
      <c r="Y18" s="126" t="s">
        <v>319</v>
      </c>
      <c r="Z18" s="124">
        <v>500</v>
      </c>
      <c r="AA18" s="124">
        <v>100</v>
      </c>
      <c r="AB18" s="124">
        <v>240</v>
      </c>
      <c r="AC18" s="124">
        <v>60</v>
      </c>
      <c r="AD18" s="117"/>
      <c r="AE18" s="117"/>
    </row>
    <row r="19" spans="1:31" ht="15" thickBot="1" x14ac:dyDescent="0.2">
      <c r="A19" s="22">
        <v>8</v>
      </c>
      <c r="B19" s="261" t="s">
        <v>163</v>
      </c>
      <c r="C19" s="126">
        <f>(155*0.96)</f>
        <v>148.79999999999998</v>
      </c>
      <c r="D19" s="126">
        <f>(465*0.96)</f>
        <v>446.4</v>
      </c>
      <c r="E19" s="126" t="s">
        <v>319</v>
      </c>
      <c r="F19" s="126">
        <f t="shared" si="2"/>
        <v>288</v>
      </c>
      <c r="G19" s="126">
        <f t="shared" si="3"/>
        <v>64.319999999999993</v>
      </c>
      <c r="H19" s="126">
        <f t="shared" ref="H19:H20" si="4">(608*0.96)</f>
        <v>583.67999999999995</v>
      </c>
      <c r="I19" s="126" t="s">
        <v>319</v>
      </c>
      <c r="J19" s="96"/>
      <c r="K19" s="96"/>
      <c r="M19" s="114">
        <v>200</v>
      </c>
      <c r="N19" s="114">
        <v>400</v>
      </c>
      <c r="O19" s="126" t="s">
        <v>319</v>
      </c>
      <c r="P19" s="114">
        <v>325</v>
      </c>
      <c r="Q19" s="114">
        <v>155</v>
      </c>
      <c r="R19" s="114">
        <v>225</v>
      </c>
      <c r="S19" s="126" t="s">
        <v>319</v>
      </c>
      <c r="T19" s="96"/>
      <c r="U19" s="96"/>
      <c r="W19" s="124">
        <v>360</v>
      </c>
      <c r="X19" s="124">
        <v>120</v>
      </c>
      <c r="Y19" s="124">
        <v>120</v>
      </c>
      <c r="Z19" s="124">
        <v>500</v>
      </c>
      <c r="AA19" s="124">
        <v>30</v>
      </c>
      <c r="AB19" s="124">
        <v>60</v>
      </c>
      <c r="AC19" s="124">
        <v>60</v>
      </c>
      <c r="AD19" s="117"/>
      <c r="AE19" s="117"/>
    </row>
    <row r="20" spans="1:31" ht="15" thickBot="1" x14ac:dyDescent="0.2">
      <c r="A20" s="22">
        <v>9</v>
      </c>
      <c r="B20" s="261" t="s">
        <v>164</v>
      </c>
      <c r="C20" s="126">
        <f>(65*0.96)</f>
        <v>62.4</v>
      </c>
      <c r="D20" s="126">
        <f>(195*0.96)</f>
        <v>187.2</v>
      </c>
      <c r="E20" s="126" t="s">
        <v>319</v>
      </c>
      <c r="F20" s="126">
        <f t="shared" si="2"/>
        <v>288</v>
      </c>
      <c r="G20" s="126">
        <f t="shared" si="3"/>
        <v>64.319999999999993</v>
      </c>
      <c r="H20" s="126">
        <f t="shared" si="4"/>
        <v>583.67999999999995</v>
      </c>
      <c r="I20" s="126" t="s">
        <v>319</v>
      </c>
      <c r="J20" s="96"/>
      <c r="K20" s="96"/>
      <c r="M20" s="114">
        <v>225</v>
      </c>
      <c r="N20" s="114">
        <v>320</v>
      </c>
      <c r="O20" s="114">
        <v>100</v>
      </c>
      <c r="P20" s="114">
        <v>325</v>
      </c>
      <c r="Q20" s="114">
        <v>95</v>
      </c>
      <c r="R20" s="114">
        <v>510</v>
      </c>
      <c r="S20" s="126" t="s">
        <v>319</v>
      </c>
      <c r="T20" s="96"/>
      <c r="U20" s="96"/>
      <c r="W20" s="124">
        <v>360</v>
      </c>
      <c r="X20" s="124">
        <v>120</v>
      </c>
      <c r="Y20" s="126" t="s">
        <v>319</v>
      </c>
      <c r="Z20" s="124">
        <v>500</v>
      </c>
      <c r="AA20" s="124">
        <v>100</v>
      </c>
      <c r="AB20" s="124">
        <v>360</v>
      </c>
      <c r="AC20" s="124">
        <v>60</v>
      </c>
      <c r="AD20" s="117"/>
      <c r="AE20" s="117"/>
    </row>
    <row r="21" spans="1:31" ht="15" thickBot="1" x14ac:dyDescent="0.25">
      <c r="A21" s="22">
        <v>10</v>
      </c>
      <c r="B21" s="262" t="s">
        <v>165</v>
      </c>
      <c r="C21" s="126">
        <f>(78*0.96)</f>
        <v>74.88</v>
      </c>
      <c r="D21" s="126">
        <f>(235*0.96)</f>
        <v>225.6</v>
      </c>
      <c r="E21" s="126" t="s">
        <v>319</v>
      </c>
      <c r="F21" s="126">
        <f t="shared" si="2"/>
        <v>288</v>
      </c>
      <c r="G21" s="126">
        <f>(46*0.96)</f>
        <v>44.16</v>
      </c>
      <c r="H21" s="126">
        <f>(421*0.96)</f>
        <v>404.15999999999997</v>
      </c>
      <c r="I21" s="126" t="s">
        <v>319</v>
      </c>
      <c r="J21" s="96"/>
      <c r="K21" s="96"/>
      <c r="M21" s="114">
        <v>225</v>
      </c>
      <c r="N21" s="114">
        <v>230</v>
      </c>
      <c r="O21" s="114">
        <v>100</v>
      </c>
      <c r="P21" s="114">
        <v>325</v>
      </c>
      <c r="Q21" s="114">
        <v>110</v>
      </c>
      <c r="R21" s="114">
        <v>180</v>
      </c>
      <c r="S21" s="126" t="s">
        <v>319</v>
      </c>
      <c r="T21" s="96"/>
      <c r="U21" s="96"/>
      <c r="W21" s="124">
        <v>360</v>
      </c>
      <c r="X21" s="124">
        <v>120</v>
      </c>
      <c r="Y21" s="126" t="s">
        <v>319</v>
      </c>
      <c r="Z21" s="124">
        <v>500</v>
      </c>
      <c r="AA21" s="124">
        <v>30</v>
      </c>
      <c r="AB21" s="124">
        <v>60</v>
      </c>
      <c r="AC21" s="124">
        <v>60</v>
      </c>
      <c r="AD21" s="117"/>
      <c r="AE21" s="117"/>
    </row>
    <row r="22" spans="1:31" ht="15" thickBot="1" x14ac:dyDescent="0.25">
      <c r="A22" s="22">
        <v>11</v>
      </c>
      <c r="B22" s="262" t="s">
        <v>166</v>
      </c>
      <c r="C22" s="126">
        <f>(104*0.96)</f>
        <v>99.84</v>
      </c>
      <c r="D22" s="126">
        <f>(312*0.96)</f>
        <v>299.52</v>
      </c>
      <c r="E22" s="126" t="s">
        <v>319</v>
      </c>
      <c r="F22" s="126">
        <f t="shared" si="2"/>
        <v>288</v>
      </c>
      <c r="G22" s="126">
        <f>(26*0.96)</f>
        <v>24.96</v>
      </c>
      <c r="H22" s="126">
        <f>(234*0.96)</f>
        <v>224.64</v>
      </c>
      <c r="I22" s="126" t="s">
        <v>319</v>
      </c>
      <c r="J22" s="96"/>
      <c r="K22" s="96"/>
      <c r="M22" s="114">
        <v>225</v>
      </c>
      <c r="N22" s="114">
        <v>522</v>
      </c>
      <c r="O22" s="114">
        <v>100</v>
      </c>
      <c r="P22" s="114">
        <v>325</v>
      </c>
      <c r="Q22" s="114">
        <v>150</v>
      </c>
      <c r="R22" s="114">
        <v>675</v>
      </c>
      <c r="S22" s="126" t="s">
        <v>319</v>
      </c>
      <c r="T22" s="96"/>
      <c r="U22" s="96"/>
      <c r="W22" s="124">
        <v>360</v>
      </c>
      <c r="X22" s="124">
        <v>120</v>
      </c>
      <c r="Y22" s="124">
        <v>120</v>
      </c>
      <c r="Z22" s="126" t="s">
        <v>319</v>
      </c>
      <c r="AA22" s="124">
        <v>100</v>
      </c>
      <c r="AB22" s="124">
        <v>480</v>
      </c>
      <c r="AC22" s="124">
        <v>60</v>
      </c>
      <c r="AD22" s="117"/>
      <c r="AE22" s="117"/>
    </row>
    <row r="23" spans="1:31" ht="15" thickBot="1" x14ac:dyDescent="0.25">
      <c r="A23" s="22">
        <v>12</v>
      </c>
      <c r="B23" s="262" t="s">
        <v>167</v>
      </c>
      <c r="C23" s="126">
        <f>(62*0.96)</f>
        <v>59.519999999999996</v>
      </c>
      <c r="D23" s="126">
        <f>(540*0.96)</f>
        <v>518.4</v>
      </c>
      <c r="E23" s="126" t="s">
        <v>319</v>
      </c>
      <c r="F23" s="126">
        <f t="shared" si="2"/>
        <v>288</v>
      </c>
      <c r="G23" s="126">
        <f>(57*0.96)</f>
        <v>54.72</v>
      </c>
      <c r="H23" s="126">
        <f>(513*0.96)</f>
        <v>492.47999999999996</v>
      </c>
      <c r="I23" s="126" t="s">
        <v>319</v>
      </c>
      <c r="J23" s="96"/>
      <c r="K23" s="96"/>
      <c r="M23" s="114">
        <v>225</v>
      </c>
      <c r="N23" s="114">
        <v>522</v>
      </c>
      <c r="O23" s="114">
        <v>100</v>
      </c>
      <c r="P23" s="114">
        <v>325</v>
      </c>
      <c r="Q23" s="114">
        <v>135</v>
      </c>
      <c r="R23" s="114">
        <v>940</v>
      </c>
      <c r="S23" s="126" t="s">
        <v>319</v>
      </c>
      <c r="T23" s="96"/>
      <c r="U23" s="96"/>
      <c r="W23" s="124">
        <v>360</v>
      </c>
      <c r="X23" s="124">
        <v>120</v>
      </c>
      <c r="Y23" s="124">
        <v>120</v>
      </c>
      <c r="Z23" s="124">
        <v>500</v>
      </c>
      <c r="AA23" s="124">
        <v>100</v>
      </c>
      <c r="AB23" s="124">
        <v>720</v>
      </c>
      <c r="AC23" s="124">
        <v>60</v>
      </c>
      <c r="AD23" s="117"/>
      <c r="AE23" s="117"/>
    </row>
    <row r="24" spans="1:31" ht="15" thickBot="1" x14ac:dyDescent="0.25">
      <c r="A24" s="22">
        <v>13</v>
      </c>
      <c r="B24" s="262" t="s">
        <v>168</v>
      </c>
      <c r="C24" s="126" t="s">
        <v>319</v>
      </c>
      <c r="D24" s="126" t="s">
        <v>319</v>
      </c>
      <c r="E24" s="126" t="s">
        <v>319</v>
      </c>
      <c r="F24" s="126" t="s">
        <v>319</v>
      </c>
      <c r="G24" s="126" t="s">
        <v>319</v>
      </c>
      <c r="H24" s="126" t="s">
        <v>319</v>
      </c>
      <c r="I24" s="126" t="s">
        <v>319</v>
      </c>
      <c r="J24" s="96"/>
      <c r="K24" s="96"/>
      <c r="M24" s="114" t="s">
        <v>319</v>
      </c>
      <c r="N24" s="114" t="s">
        <v>319</v>
      </c>
      <c r="O24" s="114" t="s">
        <v>319</v>
      </c>
      <c r="P24" s="114" t="s">
        <v>319</v>
      </c>
      <c r="Q24" s="114">
        <v>75</v>
      </c>
      <c r="R24" s="114">
        <v>275</v>
      </c>
      <c r="S24" s="126" t="s">
        <v>319</v>
      </c>
      <c r="T24" s="96"/>
      <c r="U24" s="96"/>
      <c r="W24" s="124" t="s">
        <v>319</v>
      </c>
      <c r="X24" s="124" t="s">
        <v>319</v>
      </c>
      <c r="Y24" s="126" t="s">
        <v>319</v>
      </c>
      <c r="Z24" s="126" t="s">
        <v>319</v>
      </c>
      <c r="AA24" s="124">
        <v>75</v>
      </c>
      <c r="AB24" s="124">
        <v>120</v>
      </c>
      <c r="AC24" s="126" t="s">
        <v>319</v>
      </c>
      <c r="AD24" s="117"/>
      <c r="AE24" s="117"/>
    </row>
    <row r="25" spans="1:31" ht="15" thickBot="1" x14ac:dyDescent="0.25">
      <c r="A25" s="22">
        <v>14</v>
      </c>
      <c r="B25" s="262" t="s">
        <v>169</v>
      </c>
      <c r="C25" s="126" t="s">
        <v>319</v>
      </c>
      <c r="D25" s="126" t="s">
        <v>319</v>
      </c>
      <c r="E25" s="126" t="s">
        <v>319</v>
      </c>
      <c r="F25" s="126" t="s">
        <v>319</v>
      </c>
      <c r="G25" s="126">
        <f>(30*0.96)</f>
        <v>28.799999999999997</v>
      </c>
      <c r="H25" s="126">
        <f>(270*0.96)</f>
        <v>259.2</v>
      </c>
      <c r="I25" s="126" t="s">
        <v>319</v>
      </c>
      <c r="J25" s="96"/>
      <c r="K25" s="96"/>
      <c r="M25" s="114" t="s">
        <v>319</v>
      </c>
      <c r="N25" s="114" t="s">
        <v>319</v>
      </c>
      <c r="O25" s="114" t="s">
        <v>319</v>
      </c>
      <c r="P25" s="114" t="s">
        <v>319</v>
      </c>
      <c r="Q25" s="114">
        <v>90</v>
      </c>
      <c r="R25" s="114">
        <v>150</v>
      </c>
      <c r="S25" s="126" t="s">
        <v>319</v>
      </c>
      <c r="T25" s="96"/>
      <c r="U25" s="96"/>
      <c r="W25" s="124" t="s">
        <v>319</v>
      </c>
      <c r="X25" s="124" t="s">
        <v>319</v>
      </c>
      <c r="Y25" s="126" t="s">
        <v>319</v>
      </c>
      <c r="Z25" s="126" t="s">
        <v>319</v>
      </c>
      <c r="AA25" s="124">
        <v>75</v>
      </c>
      <c r="AB25" s="124">
        <v>120</v>
      </c>
      <c r="AC25" s="126" t="s">
        <v>319</v>
      </c>
      <c r="AD25" s="117"/>
      <c r="AE25" s="117"/>
    </row>
    <row r="26" spans="1:31" ht="14.25" x14ac:dyDescent="0.2">
      <c r="A26" s="22">
        <v>15</v>
      </c>
      <c r="B26" s="263" t="s">
        <v>170</v>
      </c>
      <c r="C26" s="126" t="s">
        <v>319</v>
      </c>
      <c r="D26" s="126" t="s">
        <v>319</v>
      </c>
      <c r="E26" s="126" t="s">
        <v>319</v>
      </c>
      <c r="F26" s="126" t="s">
        <v>319</v>
      </c>
      <c r="G26" s="126">
        <f>(50*0.96)</f>
        <v>48</v>
      </c>
      <c r="H26" s="126">
        <f>(450*0.96)</f>
        <v>432</v>
      </c>
      <c r="I26" s="126" t="s">
        <v>319</v>
      </c>
      <c r="J26" s="96"/>
      <c r="K26" s="96"/>
      <c r="M26" s="114" t="s">
        <v>319</v>
      </c>
      <c r="N26" s="114" t="s">
        <v>319</v>
      </c>
      <c r="O26" s="114" t="s">
        <v>319</v>
      </c>
      <c r="P26" s="114" t="s">
        <v>319</v>
      </c>
      <c r="Q26" s="114">
        <v>90</v>
      </c>
      <c r="R26" s="114">
        <v>320</v>
      </c>
      <c r="S26" s="126" t="s">
        <v>319</v>
      </c>
      <c r="T26" s="96"/>
      <c r="U26" s="96"/>
      <c r="W26" s="124" t="s">
        <v>319</v>
      </c>
      <c r="X26" s="124" t="s">
        <v>319</v>
      </c>
      <c r="Y26" s="126" t="s">
        <v>319</v>
      </c>
      <c r="Z26" s="126" t="s">
        <v>319</v>
      </c>
      <c r="AA26" s="124">
        <v>150</v>
      </c>
      <c r="AB26" s="124">
        <v>240</v>
      </c>
      <c r="AC26" s="126" t="s">
        <v>319</v>
      </c>
      <c r="AD26" s="117"/>
      <c r="AE26" s="117"/>
    </row>
    <row r="27" spans="1:31" ht="14.25" x14ac:dyDescent="0.2">
      <c r="A27" s="22">
        <v>16</v>
      </c>
      <c r="B27" s="264" t="s">
        <v>171</v>
      </c>
      <c r="C27" s="126" t="s">
        <v>319</v>
      </c>
      <c r="D27" s="126" t="s">
        <v>319</v>
      </c>
      <c r="E27" s="126" t="s">
        <v>319</v>
      </c>
      <c r="F27" s="126" t="s">
        <v>319</v>
      </c>
      <c r="G27" s="126">
        <f>(15*0.96)</f>
        <v>14.399999999999999</v>
      </c>
      <c r="H27" s="126">
        <f>(135*0.96)</f>
        <v>129.6</v>
      </c>
      <c r="I27" s="126" t="s">
        <v>319</v>
      </c>
      <c r="J27" s="96"/>
      <c r="K27" s="96"/>
      <c r="M27" s="114" t="s">
        <v>319</v>
      </c>
      <c r="N27" s="114" t="s">
        <v>319</v>
      </c>
      <c r="O27" s="114" t="s">
        <v>319</v>
      </c>
      <c r="P27" s="114" t="s">
        <v>319</v>
      </c>
      <c r="Q27" s="114">
        <v>90</v>
      </c>
      <c r="R27" s="114">
        <v>90</v>
      </c>
      <c r="S27" s="126" t="s">
        <v>319</v>
      </c>
      <c r="T27" s="96"/>
      <c r="U27" s="96"/>
      <c r="W27" s="124" t="s">
        <v>319</v>
      </c>
      <c r="X27" s="124" t="s">
        <v>319</v>
      </c>
      <c r="Y27" s="126" t="s">
        <v>319</v>
      </c>
      <c r="Z27" s="126" t="s">
        <v>319</v>
      </c>
      <c r="AA27" s="124">
        <v>75</v>
      </c>
      <c r="AB27" s="124">
        <v>120</v>
      </c>
      <c r="AC27" s="126" t="s">
        <v>319</v>
      </c>
      <c r="AD27" s="117"/>
      <c r="AE27" s="117"/>
    </row>
    <row r="28" spans="1:31" ht="14.25" x14ac:dyDescent="0.2">
      <c r="A28" s="22">
        <v>17</v>
      </c>
      <c r="B28" s="264" t="s">
        <v>172</v>
      </c>
      <c r="C28" s="126" t="s">
        <v>319</v>
      </c>
      <c r="D28" s="126" t="s">
        <v>319</v>
      </c>
      <c r="E28" s="126" t="s">
        <v>319</v>
      </c>
      <c r="F28" s="126" t="s">
        <v>319</v>
      </c>
      <c r="G28" s="126" t="s">
        <v>319</v>
      </c>
      <c r="H28" s="126" t="s">
        <v>319</v>
      </c>
      <c r="I28" s="126" t="s">
        <v>319</v>
      </c>
      <c r="J28" s="96"/>
      <c r="K28" s="96"/>
      <c r="M28" s="114" t="s">
        <v>319</v>
      </c>
      <c r="N28" s="114" t="s">
        <v>319</v>
      </c>
      <c r="O28" s="114" t="s">
        <v>319</v>
      </c>
      <c r="P28" s="114" t="s">
        <v>319</v>
      </c>
      <c r="Q28" s="114">
        <v>75</v>
      </c>
      <c r="R28" s="114">
        <v>125</v>
      </c>
      <c r="S28" s="126" t="s">
        <v>319</v>
      </c>
      <c r="T28" s="96"/>
      <c r="U28" s="96"/>
      <c r="W28" s="124" t="s">
        <v>319</v>
      </c>
      <c r="X28" s="124" t="s">
        <v>319</v>
      </c>
      <c r="Y28" s="126" t="s">
        <v>319</v>
      </c>
      <c r="Z28" s="126" t="s">
        <v>319</v>
      </c>
      <c r="AA28" s="124" t="s">
        <v>319</v>
      </c>
      <c r="AB28" s="124" t="s">
        <v>319</v>
      </c>
      <c r="AC28" s="126" t="s">
        <v>319</v>
      </c>
      <c r="AD28" s="117"/>
      <c r="AE28" s="117"/>
    </row>
    <row r="29" spans="1:31" ht="14.25" x14ac:dyDescent="0.2">
      <c r="A29" s="22">
        <v>18</v>
      </c>
      <c r="B29" s="264" t="s">
        <v>173</v>
      </c>
      <c r="C29" s="126" t="s">
        <v>319</v>
      </c>
      <c r="D29" s="126" t="s">
        <v>319</v>
      </c>
      <c r="E29" s="126" t="s">
        <v>319</v>
      </c>
      <c r="F29" s="126" t="s">
        <v>319</v>
      </c>
      <c r="G29" s="126">
        <f>(67*0.96)</f>
        <v>64.319999999999993</v>
      </c>
      <c r="H29" s="126">
        <f>(608*0.96)</f>
        <v>583.67999999999995</v>
      </c>
      <c r="I29" s="126" t="s">
        <v>319</v>
      </c>
      <c r="J29" s="95">
        <v>23</v>
      </c>
      <c r="K29" s="95">
        <v>150</v>
      </c>
      <c r="M29" s="114">
        <v>200</v>
      </c>
      <c r="N29" s="114">
        <v>550</v>
      </c>
      <c r="O29" s="114">
        <v>100</v>
      </c>
      <c r="P29" s="114">
        <v>325</v>
      </c>
      <c r="Q29" s="114">
        <v>75</v>
      </c>
      <c r="R29" s="114">
        <v>590</v>
      </c>
      <c r="S29" s="126" t="s">
        <v>319</v>
      </c>
      <c r="T29" s="95">
        <v>18</v>
      </c>
      <c r="U29" s="95">
        <v>70</v>
      </c>
      <c r="W29" s="124" t="s">
        <v>319</v>
      </c>
      <c r="X29" s="124" t="s">
        <v>319</v>
      </c>
      <c r="Y29" s="126" t="s">
        <v>319</v>
      </c>
      <c r="Z29" s="126" t="s">
        <v>319</v>
      </c>
      <c r="AA29" s="124">
        <v>150</v>
      </c>
      <c r="AB29" s="124">
        <v>960</v>
      </c>
      <c r="AC29" s="126" t="s">
        <v>319</v>
      </c>
      <c r="AD29" s="124">
        <v>31.25</v>
      </c>
      <c r="AE29" s="124">
        <v>200</v>
      </c>
    </row>
    <row r="30" spans="1:31" ht="14.25" x14ac:dyDescent="0.2">
      <c r="A30" s="22">
        <v>19</v>
      </c>
      <c r="B30" s="264" t="s">
        <v>174</v>
      </c>
      <c r="C30" s="126" t="s">
        <v>319</v>
      </c>
      <c r="D30" s="126" t="s">
        <v>319</v>
      </c>
      <c r="E30" s="126" t="s">
        <v>319</v>
      </c>
      <c r="F30" s="126" t="s">
        <v>319</v>
      </c>
      <c r="G30" s="126">
        <f>(40*0.96)</f>
        <v>38.4</v>
      </c>
      <c r="H30" s="126">
        <f>(400*0.96)</f>
        <v>384</v>
      </c>
      <c r="I30" s="126" t="s">
        <v>319</v>
      </c>
      <c r="J30" s="127">
        <v>23</v>
      </c>
      <c r="K30" s="95">
        <v>150</v>
      </c>
      <c r="M30" s="114">
        <v>200</v>
      </c>
      <c r="N30" s="114">
        <v>675</v>
      </c>
      <c r="O30" s="114">
        <v>100</v>
      </c>
      <c r="P30" s="114">
        <v>325</v>
      </c>
      <c r="Q30" s="114">
        <v>75</v>
      </c>
      <c r="R30" s="114">
        <v>595</v>
      </c>
      <c r="S30" s="126" t="s">
        <v>319</v>
      </c>
      <c r="T30" s="95">
        <v>18</v>
      </c>
      <c r="U30" s="95">
        <v>70</v>
      </c>
      <c r="W30" s="124" t="s">
        <v>319</v>
      </c>
      <c r="X30" s="124" t="s">
        <v>319</v>
      </c>
      <c r="Y30" s="126" t="s">
        <v>319</v>
      </c>
      <c r="Z30" s="126" t="s">
        <v>319</v>
      </c>
      <c r="AA30" s="124">
        <v>150</v>
      </c>
      <c r="AB30" s="124">
        <v>480</v>
      </c>
      <c r="AC30" s="126" t="s">
        <v>319</v>
      </c>
      <c r="AD30" s="124">
        <v>31.25</v>
      </c>
      <c r="AE30" s="124">
        <v>100</v>
      </c>
    </row>
    <row r="31" spans="1:31" ht="14.25" x14ac:dyDescent="0.2">
      <c r="A31" s="22">
        <v>20</v>
      </c>
      <c r="B31" s="264" t="s">
        <v>175</v>
      </c>
      <c r="C31" s="126" t="s">
        <v>319</v>
      </c>
      <c r="D31" s="126" t="s">
        <v>319</v>
      </c>
      <c r="E31" s="126" t="s">
        <v>319</v>
      </c>
      <c r="F31" s="126" t="s">
        <v>319</v>
      </c>
      <c r="G31" s="126">
        <f>(25*0.96)</f>
        <v>24</v>
      </c>
      <c r="H31" s="126">
        <f>(200*0.96)</f>
        <v>192</v>
      </c>
      <c r="I31" s="126" t="s">
        <v>319</v>
      </c>
      <c r="J31" s="127">
        <v>23</v>
      </c>
      <c r="K31" s="95">
        <v>150</v>
      </c>
      <c r="M31" s="114">
        <v>200</v>
      </c>
      <c r="N31" s="114">
        <v>575</v>
      </c>
      <c r="O31" s="114">
        <v>100</v>
      </c>
      <c r="P31" s="114">
        <v>325</v>
      </c>
      <c r="Q31" s="114">
        <v>75</v>
      </c>
      <c r="R31" s="114">
        <v>95</v>
      </c>
      <c r="S31" s="126" t="s">
        <v>319</v>
      </c>
      <c r="T31" s="95">
        <v>18</v>
      </c>
      <c r="U31" s="95">
        <v>70</v>
      </c>
      <c r="W31" s="124" t="s">
        <v>319</v>
      </c>
      <c r="X31" s="124" t="s">
        <v>319</v>
      </c>
      <c r="Y31" s="126" t="s">
        <v>319</v>
      </c>
      <c r="Z31" s="126" t="s">
        <v>319</v>
      </c>
      <c r="AA31" s="124">
        <v>30</v>
      </c>
      <c r="AB31" s="124">
        <v>30</v>
      </c>
      <c r="AC31" s="126" t="s">
        <v>319</v>
      </c>
      <c r="AD31" s="124">
        <v>31.25</v>
      </c>
      <c r="AE31" s="124">
        <v>100</v>
      </c>
    </row>
    <row r="32" spans="1:31" ht="14.25" x14ac:dyDescent="0.2">
      <c r="A32" s="22">
        <v>21</v>
      </c>
      <c r="B32" s="264" t="s">
        <v>176</v>
      </c>
      <c r="C32" s="126">
        <f>(129*0.96)</f>
        <v>123.83999999999999</v>
      </c>
      <c r="D32" s="126">
        <f>(389*0.96)</f>
        <v>373.44</v>
      </c>
      <c r="E32" s="126" t="s">
        <v>319</v>
      </c>
      <c r="F32" s="126">
        <f t="shared" ref="F32:F34" si="5">(300*0.96)</f>
        <v>288</v>
      </c>
      <c r="G32" s="126">
        <f>(641*0.96)</f>
        <v>615.36</v>
      </c>
      <c r="H32" s="126">
        <f>(5778*0.96)</f>
        <v>5546.88</v>
      </c>
      <c r="I32" s="126" t="s">
        <v>319</v>
      </c>
      <c r="J32" s="133" t="s">
        <v>292</v>
      </c>
      <c r="K32" s="133" t="s">
        <v>292</v>
      </c>
      <c r="M32" s="114">
        <v>600</v>
      </c>
      <c r="N32" s="114">
        <v>600</v>
      </c>
      <c r="O32" s="114">
        <v>100</v>
      </c>
      <c r="P32" s="114">
        <v>325</v>
      </c>
      <c r="Q32" s="114">
        <v>455</v>
      </c>
      <c r="R32" s="114">
        <v>8635</v>
      </c>
      <c r="S32" s="126" t="s">
        <v>319</v>
      </c>
      <c r="T32" s="96"/>
      <c r="U32" s="96"/>
      <c r="W32" s="124">
        <v>2880</v>
      </c>
      <c r="X32" s="124">
        <v>960</v>
      </c>
      <c r="Y32" s="126" t="s">
        <v>319</v>
      </c>
      <c r="Z32" s="124">
        <v>1200</v>
      </c>
      <c r="AA32" s="124">
        <v>100</v>
      </c>
      <c r="AB32" s="124">
        <v>9600</v>
      </c>
      <c r="AC32" s="126" t="s">
        <v>319</v>
      </c>
      <c r="AD32" s="134" t="s">
        <v>292</v>
      </c>
      <c r="AE32" s="134" t="s">
        <v>292</v>
      </c>
    </row>
    <row r="33" spans="1:31" ht="14.25" x14ac:dyDescent="0.2">
      <c r="A33" s="22">
        <v>22</v>
      </c>
      <c r="B33" s="264" t="s">
        <v>177</v>
      </c>
      <c r="C33" s="126">
        <f>(168*0.96)</f>
        <v>161.28</v>
      </c>
      <c r="D33" s="126">
        <f>(507*0.96)</f>
        <v>486.71999999999997</v>
      </c>
      <c r="E33" s="126" t="s">
        <v>319</v>
      </c>
      <c r="F33" s="126">
        <f t="shared" si="5"/>
        <v>288</v>
      </c>
      <c r="G33" s="126">
        <f>(57*0.96)</f>
        <v>54.72</v>
      </c>
      <c r="H33" s="126">
        <f>(513*0.96)</f>
        <v>492.47999999999996</v>
      </c>
      <c r="I33" s="126" t="s">
        <v>319</v>
      </c>
      <c r="J33" s="96"/>
      <c r="K33" s="96"/>
      <c r="M33" s="114">
        <v>800</v>
      </c>
      <c r="N33" s="114">
        <v>1022</v>
      </c>
      <c r="O33" s="114">
        <v>100</v>
      </c>
      <c r="P33" s="114">
        <v>325</v>
      </c>
      <c r="Q33" s="114">
        <v>130</v>
      </c>
      <c r="R33" s="114">
        <v>1250</v>
      </c>
      <c r="S33" s="126" t="s">
        <v>319</v>
      </c>
      <c r="T33" s="96"/>
      <c r="U33" s="96"/>
      <c r="W33" s="124">
        <v>720</v>
      </c>
      <c r="X33" s="124">
        <v>240</v>
      </c>
      <c r="Y33" s="124">
        <v>120</v>
      </c>
      <c r="Z33" s="126" t="s">
        <v>319</v>
      </c>
      <c r="AA33" s="124">
        <v>100</v>
      </c>
      <c r="AB33" s="124">
        <v>960</v>
      </c>
      <c r="AC33" s="126" t="s">
        <v>319</v>
      </c>
      <c r="AD33" s="117"/>
      <c r="AE33" s="117"/>
    </row>
    <row r="34" spans="1:31" ht="14.25" x14ac:dyDescent="0.2">
      <c r="A34" s="22">
        <v>23</v>
      </c>
      <c r="B34" s="264" t="s">
        <v>178</v>
      </c>
      <c r="C34" s="126">
        <f>(35*0.96)</f>
        <v>33.6</v>
      </c>
      <c r="D34" s="126">
        <f>(105*0.96)</f>
        <v>100.8</v>
      </c>
      <c r="E34" s="126" t="s">
        <v>319</v>
      </c>
      <c r="F34" s="126">
        <f t="shared" si="5"/>
        <v>288</v>
      </c>
      <c r="G34" s="126">
        <f>(98*0.96)</f>
        <v>94.08</v>
      </c>
      <c r="H34" s="126">
        <f>(886*0.96)</f>
        <v>850.56</v>
      </c>
      <c r="I34" s="126" t="s">
        <v>319</v>
      </c>
      <c r="J34" s="96"/>
      <c r="K34" s="96"/>
      <c r="M34" s="114">
        <v>150</v>
      </c>
      <c r="N34" s="114">
        <v>200</v>
      </c>
      <c r="O34" s="126" t="s">
        <v>319</v>
      </c>
      <c r="P34" s="114">
        <v>325</v>
      </c>
      <c r="Q34" s="114">
        <v>90</v>
      </c>
      <c r="R34" s="114">
        <v>1170</v>
      </c>
      <c r="S34" s="126" t="s">
        <v>319</v>
      </c>
      <c r="T34" s="96"/>
      <c r="U34" s="96"/>
      <c r="W34" s="124">
        <v>540</v>
      </c>
      <c r="X34" s="124">
        <v>180</v>
      </c>
      <c r="Y34" s="126" t="s">
        <v>319</v>
      </c>
      <c r="Z34" s="124">
        <v>500</v>
      </c>
      <c r="AA34" s="124">
        <v>100</v>
      </c>
      <c r="AB34" s="124">
        <v>1440</v>
      </c>
      <c r="AC34" s="126" t="s">
        <v>319</v>
      </c>
      <c r="AD34" s="134" t="s">
        <v>292</v>
      </c>
      <c r="AE34" s="134" t="s">
        <v>292</v>
      </c>
    </row>
    <row r="35" spans="1:31" ht="14.25" x14ac:dyDescent="0.2">
      <c r="A35" s="22">
        <v>24</v>
      </c>
      <c r="B35" s="94" t="s">
        <v>179</v>
      </c>
      <c r="C35" s="126" t="s">
        <v>319</v>
      </c>
      <c r="D35" s="126" t="s">
        <v>319</v>
      </c>
      <c r="E35" s="126" t="s">
        <v>319</v>
      </c>
      <c r="F35" s="126" t="s">
        <v>319</v>
      </c>
      <c r="G35" s="126">
        <f>(46*0.96)</f>
        <v>44.16</v>
      </c>
      <c r="H35" s="126">
        <f>(421*0.96)</f>
        <v>404.15999999999997</v>
      </c>
      <c r="I35" s="126" t="s">
        <v>319</v>
      </c>
      <c r="J35" s="96"/>
      <c r="K35" s="96"/>
      <c r="M35" s="114" t="s">
        <v>319</v>
      </c>
      <c r="N35" s="114" t="s">
        <v>319</v>
      </c>
      <c r="O35" s="114" t="s">
        <v>319</v>
      </c>
      <c r="P35" s="114" t="s">
        <v>319</v>
      </c>
      <c r="Q35" s="114">
        <v>85</v>
      </c>
      <c r="R35" s="114">
        <v>490</v>
      </c>
      <c r="S35" s="126" t="s">
        <v>319</v>
      </c>
      <c r="T35" s="96"/>
      <c r="U35" s="96"/>
      <c r="W35" s="124" t="s">
        <v>319</v>
      </c>
      <c r="X35" s="124" t="s">
        <v>319</v>
      </c>
      <c r="Y35" s="126" t="s">
        <v>319</v>
      </c>
      <c r="Z35" s="126" t="s">
        <v>319</v>
      </c>
      <c r="AA35" s="124">
        <v>150</v>
      </c>
      <c r="AB35" s="124">
        <v>480</v>
      </c>
      <c r="AC35" s="126" t="s">
        <v>319</v>
      </c>
      <c r="AD35" s="117"/>
      <c r="AE35" s="117"/>
    </row>
    <row r="36" spans="1:31" ht="14.25" x14ac:dyDescent="0.2">
      <c r="A36" s="22">
        <v>25</v>
      </c>
      <c r="B36" s="94" t="s">
        <v>180</v>
      </c>
      <c r="C36" s="126" t="s">
        <v>319</v>
      </c>
      <c r="D36" s="126" t="s">
        <v>319</v>
      </c>
      <c r="E36" s="126" t="s">
        <v>319</v>
      </c>
      <c r="F36" s="126" t="s">
        <v>319</v>
      </c>
      <c r="G36" s="126">
        <f t="shared" ref="G36:G43" si="6">(46*0.96)</f>
        <v>44.16</v>
      </c>
      <c r="H36" s="126">
        <f t="shared" ref="H36:H43" si="7">(421*0.96)</f>
        <v>404.15999999999997</v>
      </c>
      <c r="I36" s="126" t="s">
        <v>319</v>
      </c>
      <c r="J36" s="96"/>
      <c r="K36" s="96"/>
      <c r="M36" s="114" t="s">
        <v>319</v>
      </c>
      <c r="N36" s="114" t="s">
        <v>319</v>
      </c>
      <c r="O36" s="114" t="s">
        <v>319</v>
      </c>
      <c r="P36" s="114" t="s">
        <v>319</v>
      </c>
      <c r="Q36" s="114">
        <v>90</v>
      </c>
      <c r="R36" s="114">
        <v>540</v>
      </c>
      <c r="S36" s="126" t="s">
        <v>319</v>
      </c>
      <c r="T36" s="96"/>
      <c r="U36" s="96"/>
      <c r="W36" s="124" t="s">
        <v>319</v>
      </c>
      <c r="X36" s="124" t="s">
        <v>319</v>
      </c>
      <c r="Y36" s="126" t="s">
        <v>319</v>
      </c>
      <c r="Z36" s="126" t="s">
        <v>319</v>
      </c>
      <c r="AA36" s="124">
        <v>150</v>
      </c>
      <c r="AB36" s="124">
        <v>360</v>
      </c>
      <c r="AC36" s="126" t="s">
        <v>319</v>
      </c>
      <c r="AD36" s="117"/>
      <c r="AE36" s="117"/>
    </row>
    <row r="37" spans="1:31" ht="14.25" x14ac:dyDescent="0.2">
      <c r="A37" s="22">
        <v>26</v>
      </c>
      <c r="B37" s="94" t="s">
        <v>181</v>
      </c>
      <c r="C37" s="126">
        <f>(35*0.96)</f>
        <v>33.6</v>
      </c>
      <c r="D37" s="126">
        <f>(105*0.96)</f>
        <v>100.8</v>
      </c>
      <c r="E37" s="126" t="s">
        <v>319</v>
      </c>
      <c r="F37" s="126">
        <f t="shared" ref="F37:F39" si="8">(300*0.96)</f>
        <v>288</v>
      </c>
      <c r="G37" s="126">
        <f t="shared" si="6"/>
        <v>44.16</v>
      </c>
      <c r="H37" s="126">
        <f t="shared" si="7"/>
        <v>404.15999999999997</v>
      </c>
      <c r="I37" s="126" t="s">
        <v>319</v>
      </c>
      <c r="J37" s="96"/>
      <c r="K37" s="96"/>
      <c r="M37" s="114">
        <v>230</v>
      </c>
      <c r="N37" s="114">
        <v>300</v>
      </c>
      <c r="O37" s="126" t="s">
        <v>319</v>
      </c>
      <c r="P37" s="114">
        <v>325</v>
      </c>
      <c r="Q37" s="114">
        <v>90</v>
      </c>
      <c r="R37" s="114">
        <v>470</v>
      </c>
      <c r="S37" s="126" t="s">
        <v>319</v>
      </c>
      <c r="T37" s="96"/>
      <c r="U37" s="96"/>
      <c r="W37" s="124">
        <v>360</v>
      </c>
      <c r="X37" s="124">
        <v>120</v>
      </c>
      <c r="Y37" s="126" t="s">
        <v>319</v>
      </c>
      <c r="Z37" s="124">
        <v>500</v>
      </c>
      <c r="AA37" s="124">
        <v>100</v>
      </c>
      <c r="AB37" s="124">
        <v>360</v>
      </c>
      <c r="AC37" s="124">
        <v>120</v>
      </c>
      <c r="AD37" s="117"/>
      <c r="AE37" s="117"/>
    </row>
    <row r="38" spans="1:31" ht="14.25" x14ac:dyDescent="0.2">
      <c r="A38" s="22">
        <v>27</v>
      </c>
      <c r="B38" s="94" t="s">
        <v>182</v>
      </c>
      <c r="C38" s="126">
        <f t="shared" ref="C38:C39" si="9">(35*0.96)</f>
        <v>33.6</v>
      </c>
      <c r="D38" s="126">
        <f t="shared" ref="D38:D41" si="10">(105*0.96)</f>
        <v>100.8</v>
      </c>
      <c r="E38" s="126" t="s">
        <v>319</v>
      </c>
      <c r="F38" s="126">
        <f t="shared" si="8"/>
        <v>288</v>
      </c>
      <c r="G38" s="126">
        <f t="shared" si="6"/>
        <v>44.16</v>
      </c>
      <c r="H38" s="126">
        <f t="shared" si="7"/>
        <v>404.15999999999997</v>
      </c>
      <c r="I38" s="126" t="s">
        <v>319</v>
      </c>
      <c r="J38" s="96"/>
      <c r="K38" s="96"/>
      <c r="M38" s="114">
        <v>230</v>
      </c>
      <c r="N38" s="114">
        <v>300</v>
      </c>
      <c r="O38" s="126" t="s">
        <v>319</v>
      </c>
      <c r="P38" s="114">
        <v>325</v>
      </c>
      <c r="Q38" s="114">
        <v>85</v>
      </c>
      <c r="R38" s="114">
        <v>450</v>
      </c>
      <c r="S38" s="126" t="s">
        <v>319</v>
      </c>
      <c r="T38" s="96"/>
      <c r="U38" s="96"/>
      <c r="W38" s="124">
        <v>360</v>
      </c>
      <c r="X38" s="124">
        <v>120</v>
      </c>
      <c r="Y38" s="126" t="s">
        <v>319</v>
      </c>
      <c r="Z38" s="124">
        <v>500</v>
      </c>
      <c r="AA38" s="124">
        <v>100</v>
      </c>
      <c r="AB38" s="124">
        <v>360</v>
      </c>
      <c r="AC38" s="124">
        <v>120</v>
      </c>
      <c r="AD38" s="117"/>
      <c r="AE38" s="117"/>
    </row>
    <row r="39" spans="1:31" ht="14.25" x14ac:dyDescent="0.2">
      <c r="A39" s="22">
        <v>28</v>
      </c>
      <c r="B39" s="94" t="s">
        <v>183</v>
      </c>
      <c r="C39" s="126">
        <f t="shared" si="9"/>
        <v>33.6</v>
      </c>
      <c r="D39" s="126">
        <f t="shared" si="10"/>
        <v>100.8</v>
      </c>
      <c r="E39" s="126" t="s">
        <v>319</v>
      </c>
      <c r="F39" s="126">
        <f t="shared" si="8"/>
        <v>288</v>
      </c>
      <c r="G39" s="126">
        <f t="shared" si="6"/>
        <v>44.16</v>
      </c>
      <c r="H39" s="126">
        <f t="shared" si="7"/>
        <v>404.15999999999997</v>
      </c>
      <c r="I39" s="126" t="s">
        <v>319</v>
      </c>
      <c r="J39" s="96"/>
      <c r="K39" s="96"/>
      <c r="M39" s="114" t="s">
        <v>319</v>
      </c>
      <c r="N39" s="114" t="s">
        <v>319</v>
      </c>
      <c r="O39" s="114" t="s">
        <v>319</v>
      </c>
      <c r="P39" s="114" t="s">
        <v>319</v>
      </c>
      <c r="Q39" s="114">
        <v>85</v>
      </c>
      <c r="R39" s="114">
        <v>470</v>
      </c>
      <c r="S39" s="126" t="s">
        <v>319</v>
      </c>
      <c r="T39" s="96"/>
      <c r="U39" s="96"/>
      <c r="W39" s="124" t="s">
        <v>319</v>
      </c>
      <c r="X39" s="124" t="s">
        <v>319</v>
      </c>
      <c r="Y39" s="126" t="s">
        <v>319</v>
      </c>
      <c r="Z39" s="126" t="s">
        <v>319</v>
      </c>
      <c r="AA39" s="124">
        <v>150</v>
      </c>
      <c r="AB39" s="124">
        <v>480</v>
      </c>
      <c r="AC39" s="126" t="s">
        <v>319</v>
      </c>
      <c r="AD39" s="117"/>
      <c r="AE39" s="117"/>
    </row>
    <row r="40" spans="1:31" ht="14.25" x14ac:dyDescent="0.2">
      <c r="A40" s="22">
        <v>29</v>
      </c>
      <c r="B40" s="94" t="s">
        <v>183</v>
      </c>
      <c r="C40" s="126" t="s">
        <v>319</v>
      </c>
      <c r="D40" s="126" t="s">
        <v>319</v>
      </c>
      <c r="E40" s="126" t="s">
        <v>319</v>
      </c>
      <c r="F40" s="126" t="s">
        <v>319</v>
      </c>
      <c r="G40" s="126" t="s">
        <v>319</v>
      </c>
      <c r="H40" s="126" t="s">
        <v>319</v>
      </c>
      <c r="I40" s="126" t="s">
        <v>319</v>
      </c>
      <c r="J40" s="96"/>
      <c r="K40" s="96"/>
      <c r="M40" s="114" t="s">
        <v>319</v>
      </c>
      <c r="N40" s="114" t="s">
        <v>319</v>
      </c>
      <c r="O40" s="114" t="s">
        <v>319</v>
      </c>
      <c r="P40" s="114" t="s">
        <v>319</v>
      </c>
      <c r="Q40" s="114" t="s">
        <v>319</v>
      </c>
      <c r="R40" s="114" t="s">
        <v>319</v>
      </c>
      <c r="S40" s="126" t="s">
        <v>319</v>
      </c>
      <c r="T40" s="96"/>
      <c r="U40" s="96"/>
      <c r="W40" s="124" t="s">
        <v>319</v>
      </c>
      <c r="X40" s="124" t="s">
        <v>319</v>
      </c>
      <c r="Y40" s="126" t="s">
        <v>319</v>
      </c>
      <c r="Z40" s="126" t="s">
        <v>319</v>
      </c>
      <c r="AA40" s="124" t="s">
        <v>319</v>
      </c>
      <c r="AB40" s="124" t="s">
        <v>319</v>
      </c>
      <c r="AC40" s="126" t="s">
        <v>319</v>
      </c>
      <c r="AD40" s="117"/>
      <c r="AE40" s="117"/>
    </row>
    <row r="41" spans="1:31" ht="14.25" x14ac:dyDescent="0.2">
      <c r="A41" s="22">
        <v>30</v>
      </c>
      <c r="B41" s="94" t="s">
        <v>184</v>
      </c>
      <c r="C41" s="126">
        <f>(35*0.96)</f>
        <v>33.6</v>
      </c>
      <c r="D41" s="126">
        <f t="shared" si="10"/>
        <v>100.8</v>
      </c>
      <c r="E41" s="126" t="s">
        <v>319</v>
      </c>
      <c r="F41" s="126">
        <f t="shared" ref="F41" si="11">(300*0.96)</f>
        <v>288</v>
      </c>
      <c r="G41" s="126">
        <f t="shared" si="6"/>
        <v>44.16</v>
      </c>
      <c r="H41" s="126">
        <f t="shared" si="7"/>
        <v>404.15999999999997</v>
      </c>
      <c r="I41" s="126" t="s">
        <v>319</v>
      </c>
      <c r="J41" s="96"/>
      <c r="K41" s="96"/>
      <c r="M41" s="114">
        <v>230</v>
      </c>
      <c r="N41" s="114">
        <v>300</v>
      </c>
      <c r="O41" s="126" t="s">
        <v>319</v>
      </c>
      <c r="P41" s="114">
        <v>325</v>
      </c>
      <c r="Q41" s="114">
        <v>85</v>
      </c>
      <c r="R41" s="114">
        <v>615</v>
      </c>
      <c r="S41" s="126" t="s">
        <v>319</v>
      </c>
      <c r="T41" s="96"/>
      <c r="U41" s="96"/>
      <c r="W41" s="124">
        <v>360</v>
      </c>
      <c r="X41" s="124">
        <v>120</v>
      </c>
      <c r="Y41" s="126" t="s">
        <v>319</v>
      </c>
      <c r="Z41" s="124">
        <v>500</v>
      </c>
      <c r="AA41" s="124">
        <v>100</v>
      </c>
      <c r="AB41" s="124">
        <v>360</v>
      </c>
      <c r="AC41" s="124">
        <v>120</v>
      </c>
      <c r="AD41" s="117"/>
      <c r="AE41" s="117"/>
    </row>
    <row r="42" spans="1:31" ht="14.25" x14ac:dyDescent="0.2">
      <c r="A42" s="22">
        <v>31</v>
      </c>
      <c r="B42" s="94" t="s">
        <v>185</v>
      </c>
      <c r="C42" s="126" t="s">
        <v>319</v>
      </c>
      <c r="D42" s="126" t="s">
        <v>319</v>
      </c>
      <c r="E42" s="126" t="s">
        <v>319</v>
      </c>
      <c r="F42" s="126" t="s">
        <v>319</v>
      </c>
      <c r="G42" s="126">
        <f>(26*0.96)</f>
        <v>24.96</v>
      </c>
      <c r="H42" s="126">
        <f>(234*0.96)</f>
        <v>224.64</v>
      </c>
      <c r="I42" s="126" t="s">
        <v>319</v>
      </c>
      <c r="J42" s="96"/>
      <c r="K42" s="96"/>
      <c r="M42" s="114" t="s">
        <v>319</v>
      </c>
      <c r="N42" s="114" t="s">
        <v>319</v>
      </c>
      <c r="O42" s="114" t="s">
        <v>319</v>
      </c>
      <c r="P42" s="114" t="s">
        <v>319</v>
      </c>
      <c r="Q42" s="114">
        <v>80</v>
      </c>
      <c r="R42" s="114">
        <v>185</v>
      </c>
      <c r="S42" s="126" t="s">
        <v>319</v>
      </c>
      <c r="T42" s="96"/>
      <c r="U42" s="96"/>
      <c r="W42" s="124" t="s">
        <v>319</v>
      </c>
      <c r="X42" s="124" t="s">
        <v>319</v>
      </c>
      <c r="Y42" s="126" t="s">
        <v>319</v>
      </c>
      <c r="Z42" s="126" t="s">
        <v>319</v>
      </c>
      <c r="AA42" s="124">
        <v>30</v>
      </c>
      <c r="AB42" s="124">
        <v>30</v>
      </c>
      <c r="AC42" s="126" t="s">
        <v>319</v>
      </c>
      <c r="AD42" s="117"/>
      <c r="AE42" s="117"/>
    </row>
    <row r="43" spans="1:31" ht="14.25" x14ac:dyDescent="0.2">
      <c r="A43" s="22">
        <v>32</v>
      </c>
      <c r="B43" s="94" t="s">
        <v>186</v>
      </c>
      <c r="C43" s="126">
        <f>(168*0.96)</f>
        <v>161.28</v>
      </c>
      <c r="D43" s="126">
        <f>(507*0.96)</f>
        <v>486.71999999999997</v>
      </c>
      <c r="E43" s="126" t="s">
        <v>319</v>
      </c>
      <c r="F43" s="126">
        <f t="shared" ref="F43" si="12">(300*0.96)</f>
        <v>288</v>
      </c>
      <c r="G43" s="126">
        <f t="shared" si="6"/>
        <v>44.16</v>
      </c>
      <c r="H43" s="126">
        <f t="shared" si="7"/>
        <v>404.15999999999997</v>
      </c>
      <c r="I43" s="126" t="s">
        <v>319</v>
      </c>
      <c r="J43" s="96"/>
      <c r="K43" s="96"/>
      <c r="M43" s="114">
        <v>300</v>
      </c>
      <c r="N43" s="114">
        <v>522</v>
      </c>
      <c r="O43" s="114">
        <v>100</v>
      </c>
      <c r="P43" s="114">
        <v>325</v>
      </c>
      <c r="Q43" s="114">
        <v>115</v>
      </c>
      <c r="R43" s="114">
        <v>375</v>
      </c>
      <c r="S43" s="126" t="s">
        <v>319</v>
      </c>
      <c r="T43" s="96"/>
      <c r="U43" s="96"/>
      <c r="W43" s="124">
        <v>360</v>
      </c>
      <c r="X43" s="124">
        <v>120</v>
      </c>
      <c r="Y43" s="126" t="s">
        <v>319</v>
      </c>
      <c r="Z43" s="124">
        <v>500</v>
      </c>
      <c r="AA43" s="124">
        <v>100</v>
      </c>
      <c r="AB43" s="124">
        <v>240</v>
      </c>
      <c r="AC43" s="124">
        <v>120</v>
      </c>
      <c r="AD43" s="117"/>
      <c r="AE43" s="117"/>
    </row>
    <row r="44" spans="1:31" ht="28.5" x14ac:dyDescent="0.2">
      <c r="A44" s="22">
        <v>33</v>
      </c>
      <c r="B44" s="94" t="s">
        <v>187</v>
      </c>
      <c r="C44" s="126" t="s">
        <v>319</v>
      </c>
      <c r="D44" s="126" t="s">
        <v>319</v>
      </c>
      <c r="E44" s="126" t="s">
        <v>319</v>
      </c>
      <c r="F44" s="126" t="s">
        <v>319</v>
      </c>
      <c r="G44" s="126">
        <f>(26*0.96)</f>
        <v>24.96</v>
      </c>
      <c r="H44" s="126">
        <f>(234*0.96)</f>
        <v>224.64</v>
      </c>
      <c r="I44" s="126" t="s">
        <v>319</v>
      </c>
      <c r="J44" s="96"/>
      <c r="K44" s="96"/>
      <c r="M44" s="114" t="s">
        <v>319</v>
      </c>
      <c r="N44" s="114" t="s">
        <v>319</v>
      </c>
      <c r="O44" s="114" t="s">
        <v>319</v>
      </c>
      <c r="P44" s="114" t="s">
        <v>319</v>
      </c>
      <c r="Q44" s="114">
        <v>85</v>
      </c>
      <c r="R44" s="114">
        <v>470</v>
      </c>
      <c r="S44" s="126" t="s">
        <v>319</v>
      </c>
      <c r="T44" s="96"/>
      <c r="U44" s="96"/>
      <c r="W44" s="124" t="s">
        <v>319</v>
      </c>
      <c r="X44" s="124" t="s">
        <v>319</v>
      </c>
      <c r="Y44" s="126" t="s">
        <v>319</v>
      </c>
      <c r="Z44" s="126" t="s">
        <v>319</v>
      </c>
      <c r="AA44" s="124">
        <v>150</v>
      </c>
      <c r="AB44" s="124">
        <v>360</v>
      </c>
      <c r="AC44" s="126" t="s">
        <v>319</v>
      </c>
      <c r="AD44" s="117"/>
      <c r="AE44" s="117"/>
    </row>
    <row r="45" spans="1:31" ht="14.25" x14ac:dyDescent="0.2">
      <c r="A45" s="22">
        <v>34</v>
      </c>
      <c r="B45" s="94" t="s">
        <v>188</v>
      </c>
      <c r="C45" s="126" t="s">
        <v>319</v>
      </c>
      <c r="D45" s="126" t="s">
        <v>319</v>
      </c>
      <c r="E45" s="126" t="s">
        <v>319</v>
      </c>
      <c r="F45" s="126" t="s">
        <v>319</v>
      </c>
      <c r="G45" s="126" t="s">
        <v>319</v>
      </c>
      <c r="H45" s="126">
        <f>(750*0.96)</f>
        <v>720</v>
      </c>
      <c r="I45" s="126" t="s">
        <v>319</v>
      </c>
      <c r="J45" s="96"/>
      <c r="K45" s="96"/>
      <c r="M45" s="114" t="s">
        <v>319</v>
      </c>
      <c r="N45" s="114" t="s">
        <v>319</v>
      </c>
      <c r="O45" s="114" t="s">
        <v>319</v>
      </c>
      <c r="P45" s="114" t="s">
        <v>319</v>
      </c>
      <c r="Q45" s="114">
        <v>85</v>
      </c>
      <c r="R45" s="114">
        <v>385</v>
      </c>
      <c r="S45" s="126" t="s">
        <v>319</v>
      </c>
      <c r="T45" s="96"/>
      <c r="U45" s="96"/>
      <c r="W45" s="124" t="s">
        <v>319</v>
      </c>
      <c r="X45" s="124" t="s">
        <v>319</v>
      </c>
      <c r="Y45" s="126" t="s">
        <v>319</v>
      </c>
      <c r="Z45" s="126" t="s">
        <v>319</v>
      </c>
      <c r="AA45" s="124">
        <v>150</v>
      </c>
      <c r="AB45" s="124">
        <v>360</v>
      </c>
      <c r="AC45" s="126" t="s">
        <v>319</v>
      </c>
      <c r="AD45" s="117"/>
      <c r="AE45" s="117"/>
    </row>
    <row r="46" spans="1:31" ht="14.25" x14ac:dyDescent="0.2">
      <c r="A46" s="22">
        <v>35</v>
      </c>
      <c r="B46" s="94" t="s">
        <v>189</v>
      </c>
      <c r="C46" s="126">
        <f>(35*0.96)</f>
        <v>33.6</v>
      </c>
      <c r="D46" s="126">
        <f t="shared" ref="D46" si="13">(105*0.96)</f>
        <v>100.8</v>
      </c>
      <c r="E46" s="126" t="s">
        <v>319</v>
      </c>
      <c r="F46" s="126">
        <f t="shared" ref="F46" si="14">(300*0.96)</f>
        <v>288</v>
      </c>
      <c r="G46" s="126">
        <f>(26*0.96)</f>
        <v>24.96</v>
      </c>
      <c r="H46" s="126">
        <f>(234*0.96)</f>
        <v>224.64</v>
      </c>
      <c r="I46" s="126" t="s">
        <v>319</v>
      </c>
      <c r="J46" s="96"/>
      <c r="K46" s="96"/>
      <c r="M46" s="114">
        <v>230</v>
      </c>
      <c r="N46" s="114">
        <v>300</v>
      </c>
      <c r="O46" s="126" t="s">
        <v>319</v>
      </c>
      <c r="P46" s="114">
        <v>325</v>
      </c>
      <c r="Q46" s="114">
        <v>80</v>
      </c>
      <c r="R46" s="114">
        <v>185</v>
      </c>
      <c r="S46" s="126" t="s">
        <v>319</v>
      </c>
      <c r="T46" s="96"/>
      <c r="U46" s="96"/>
      <c r="W46" s="124">
        <v>360</v>
      </c>
      <c r="X46" s="124">
        <v>120</v>
      </c>
      <c r="Y46" s="126" t="s">
        <v>319</v>
      </c>
      <c r="Z46" s="124">
        <v>500</v>
      </c>
      <c r="AA46" s="124">
        <v>30</v>
      </c>
      <c r="AB46" s="124">
        <v>60</v>
      </c>
      <c r="AC46" s="124">
        <v>60</v>
      </c>
      <c r="AD46" s="117"/>
      <c r="AE46" s="117"/>
    </row>
    <row r="47" spans="1:31" ht="14.25" x14ac:dyDescent="0.2">
      <c r="A47" s="22">
        <v>36</v>
      </c>
      <c r="B47" s="94" t="s">
        <v>190</v>
      </c>
      <c r="C47" s="126" t="s">
        <v>319</v>
      </c>
      <c r="D47" s="126" t="s">
        <v>319</v>
      </c>
      <c r="E47" s="126" t="s">
        <v>319</v>
      </c>
      <c r="F47" s="126" t="s">
        <v>319</v>
      </c>
      <c r="G47" s="126" t="s">
        <v>319</v>
      </c>
      <c r="H47" s="126">
        <f>(750*0.96)</f>
        <v>720</v>
      </c>
      <c r="I47" s="126" t="s">
        <v>319</v>
      </c>
      <c r="J47" s="96"/>
      <c r="K47" s="96"/>
      <c r="M47" s="114" t="s">
        <v>319</v>
      </c>
      <c r="N47" s="114" t="s">
        <v>319</v>
      </c>
      <c r="O47" s="114" t="s">
        <v>319</v>
      </c>
      <c r="P47" s="114" t="s">
        <v>319</v>
      </c>
      <c r="Q47" s="114">
        <v>90</v>
      </c>
      <c r="R47" s="114">
        <v>305</v>
      </c>
      <c r="S47" s="126" t="s">
        <v>319</v>
      </c>
      <c r="T47" s="96"/>
      <c r="U47" s="96"/>
      <c r="W47" s="124" t="s">
        <v>319</v>
      </c>
      <c r="X47" s="124" t="s">
        <v>319</v>
      </c>
      <c r="Y47" s="126" t="s">
        <v>319</v>
      </c>
      <c r="Z47" s="126" t="s">
        <v>319</v>
      </c>
      <c r="AA47" s="124">
        <v>75</v>
      </c>
      <c r="AB47" s="124">
        <v>120</v>
      </c>
      <c r="AC47" s="126" t="s">
        <v>319</v>
      </c>
      <c r="AD47" s="117"/>
      <c r="AE47" s="117"/>
    </row>
    <row r="48" spans="1:31" ht="14.25" x14ac:dyDescent="0.2">
      <c r="A48" s="22">
        <v>37</v>
      </c>
      <c r="B48" s="94" t="s">
        <v>191</v>
      </c>
      <c r="C48" s="126">
        <f>(646*0.96)</f>
        <v>620.16</v>
      </c>
      <c r="D48" s="126">
        <f>(1500*0.96)</f>
        <v>1440</v>
      </c>
      <c r="E48" s="126" t="s">
        <v>319</v>
      </c>
      <c r="F48" s="126">
        <f t="shared" ref="F48" si="15">(300*0.96)</f>
        <v>288</v>
      </c>
      <c r="G48" s="126">
        <f>(200*0.96)</f>
        <v>192</v>
      </c>
      <c r="H48" s="126">
        <f>(1819*0.96)</f>
        <v>1746.24</v>
      </c>
      <c r="I48" s="126" t="s">
        <v>319</v>
      </c>
      <c r="J48" s="96"/>
      <c r="K48" s="96"/>
      <c r="M48" s="114">
        <v>300</v>
      </c>
      <c r="N48" s="114">
        <v>1022</v>
      </c>
      <c r="O48" s="126" t="s">
        <v>319</v>
      </c>
      <c r="P48" s="114">
        <v>325</v>
      </c>
      <c r="Q48" s="114">
        <v>185</v>
      </c>
      <c r="R48" s="114">
        <v>1785</v>
      </c>
      <c r="S48" s="126" t="s">
        <v>319</v>
      </c>
      <c r="T48" s="96"/>
      <c r="U48" s="96"/>
      <c r="W48" s="124">
        <v>1440</v>
      </c>
      <c r="X48" s="124">
        <v>480</v>
      </c>
      <c r="Y48" s="124">
        <v>360</v>
      </c>
      <c r="Z48" s="124">
        <v>600</v>
      </c>
      <c r="AA48" s="124">
        <v>100</v>
      </c>
      <c r="AB48" s="124">
        <v>1440</v>
      </c>
      <c r="AC48" s="124">
        <v>180</v>
      </c>
      <c r="AD48" s="134" t="s">
        <v>292</v>
      </c>
      <c r="AE48" s="134" t="s">
        <v>292</v>
      </c>
    </row>
    <row r="49" spans="1:31" ht="14.25" x14ac:dyDescent="0.2">
      <c r="A49" s="22">
        <v>38</v>
      </c>
      <c r="B49" s="94" t="s">
        <v>192</v>
      </c>
      <c r="C49" s="126">
        <f>(195*0.96)</f>
        <v>187.2</v>
      </c>
      <c r="D49" s="126">
        <f>(595*0.96)</f>
        <v>571.19999999999993</v>
      </c>
      <c r="E49" s="126" t="s">
        <v>319</v>
      </c>
      <c r="F49" s="126">
        <f t="shared" ref="F49:F50" si="16">(300*0.96)</f>
        <v>288</v>
      </c>
      <c r="G49" s="126">
        <f>(225*0.96)</f>
        <v>216</v>
      </c>
      <c r="H49" s="126">
        <f>(2025*0.96)</f>
        <v>1944</v>
      </c>
      <c r="I49" s="126" t="s">
        <v>319</v>
      </c>
      <c r="J49" s="96"/>
      <c r="K49" s="96"/>
      <c r="M49" s="114">
        <v>300</v>
      </c>
      <c r="N49" s="114">
        <v>300</v>
      </c>
      <c r="O49" s="114">
        <v>100</v>
      </c>
      <c r="P49" s="114">
        <v>325</v>
      </c>
      <c r="Q49" s="114">
        <v>150</v>
      </c>
      <c r="R49" s="114">
        <v>600</v>
      </c>
      <c r="S49" s="126" t="s">
        <v>319</v>
      </c>
      <c r="T49" s="96"/>
      <c r="U49" s="96"/>
      <c r="W49" s="124">
        <v>75</v>
      </c>
      <c r="X49" s="124">
        <v>25</v>
      </c>
      <c r="Y49" s="126" t="s">
        <v>319</v>
      </c>
      <c r="Z49" s="124">
        <v>500</v>
      </c>
      <c r="AA49" s="124">
        <v>75</v>
      </c>
      <c r="AB49" s="124">
        <v>100</v>
      </c>
      <c r="AC49" s="126" t="s">
        <v>319</v>
      </c>
      <c r="AD49" s="117"/>
      <c r="AE49" s="117"/>
    </row>
    <row r="50" spans="1:31" ht="14.25" x14ac:dyDescent="0.2">
      <c r="A50" s="22">
        <v>39</v>
      </c>
      <c r="B50" s="94" t="s">
        <v>193</v>
      </c>
      <c r="C50" s="126">
        <f>(15*0.96)</f>
        <v>14.399999999999999</v>
      </c>
      <c r="D50" s="126">
        <f>(120*0.96)</f>
        <v>115.19999999999999</v>
      </c>
      <c r="E50" s="126" t="s">
        <v>319</v>
      </c>
      <c r="F50" s="126">
        <f t="shared" si="16"/>
        <v>288</v>
      </c>
      <c r="G50" s="126">
        <f>(26*0.96)</f>
        <v>24.96</v>
      </c>
      <c r="H50" s="126">
        <f>(234*0.96)</f>
        <v>224.64</v>
      </c>
      <c r="I50" s="126" t="s">
        <v>319</v>
      </c>
      <c r="J50" s="96"/>
      <c r="K50" s="96"/>
      <c r="M50" s="114">
        <v>230</v>
      </c>
      <c r="N50" s="114">
        <v>300</v>
      </c>
      <c r="O50" s="126" t="s">
        <v>319</v>
      </c>
      <c r="P50" s="114">
        <v>325</v>
      </c>
      <c r="Q50" s="114">
        <v>85</v>
      </c>
      <c r="R50" s="114">
        <v>165</v>
      </c>
      <c r="S50" s="126" t="s">
        <v>319</v>
      </c>
      <c r="T50" s="96"/>
      <c r="U50" s="96"/>
      <c r="W50" s="124">
        <v>360</v>
      </c>
      <c r="X50" s="124">
        <v>120</v>
      </c>
      <c r="Y50" s="126" t="s">
        <v>319</v>
      </c>
      <c r="Z50" s="124">
        <v>500</v>
      </c>
      <c r="AA50" s="124">
        <v>30</v>
      </c>
      <c r="AB50" s="124">
        <v>30</v>
      </c>
      <c r="AC50" s="124">
        <v>60</v>
      </c>
      <c r="AD50" s="117"/>
      <c r="AE50" s="117"/>
    </row>
    <row r="51" spans="1:31" ht="14.25" x14ac:dyDescent="0.2">
      <c r="A51" s="22">
        <v>40</v>
      </c>
      <c r="B51" s="94" t="s">
        <v>194</v>
      </c>
      <c r="C51" s="126" t="s">
        <v>319</v>
      </c>
      <c r="D51" s="126" t="s">
        <v>319</v>
      </c>
      <c r="E51" s="126" t="s">
        <v>319</v>
      </c>
      <c r="F51" s="126" t="s">
        <v>319</v>
      </c>
      <c r="G51" s="126">
        <f t="shared" ref="G51:G56" si="17">(46*0.96)</f>
        <v>44.16</v>
      </c>
      <c r="H51" s="126">
        <f t="shared" ref="H51:H56" si="18">(421*0.96)</f>
        <v>404.15999999999997</v>
      </c>
      <c r="I51" s="126" t="s">
        <v>319</v>
      </c>
      <c r="J51" s="96"/>
      <c r="K51" s="96"/>
      <c r="M51" s="114" t="s">
        <v>319</v>
      </c>
      <c r="N51" s="114" t="s">
        <v>319</v>
      </c>
      <c r="O51" s="114" t="s">
        <v>319</v>
      </c>
      <c r="P51" s="114" t="s">
        <v>319</v>
      </c>
      <c r="Q51" s="114">
        <v>85</v>
      </c>
      <c r="R51" s="114">
        <v>450</v>
      </c>
      <c r="S51" s="126" t="s">
        <v>319</v>
      </c>
      <c r="T51" s="96"/>
      <c r="U51" s="96"/>
      <c r="W51" s="124" t="s">
        <v>319</v>
      </c>
      <c r="X51" s="124" t="s">
        <v>319</v>
      </c>
      <c r="Y51" s="126" t="s">
        <v>319</v>
      </c>
      <c r="Z51" s="126" t="s">
        <v>319</v>
      </c>
      <c r="AA51" s="124">
        <v>150</v>
      </c>
      <c r="AB51" s="124">
        <v>360</v>
      </c>
      <c r="AC51" s="126" t="s">
        <v>319</v>
      </c>
      <c r="AD51" s="117"/>
      <c r="AE51" s="117"/>
    </row>
    <row r="52" spans="1:31" ht="14.25" x14ac:dyDescent="0.2">
      <c r="A52" s="22">
        <v>41</v>
      </c>
      <c r="B52" s="94" t="s">
        <v>195</v>
      </c>
      <c r="C52" s="126" t="s">
        <v>319</v>
      </c>
      <c r="D52" s="126" t="s">
        <v>319</v>
      </c>
      <c r="E52" s="126" t="s">
        <v>319</v>
      </c>
      <c r="F52" s="126" t="s">
        <v>319</v>
      </c>
      <c r="G52" s="126">
        <f t="shared" si="17"/>
        <v>44.16</v>
      </c>
      <c r="H52" s="126">
        <f t="shared" si="18"/>
        <v>404.15999999999997</v>
      </c>
      <c r="I52" s="126" t="s">
        <v>319</v>
      </c>
      <c r="J52" s="96"/>
      <c r="K52" s="96"/>
      <c r="M52" s="114" t="s">
        <v>319</v>
      </c>
      <c r="N52" s="114" t="s">
        <v>319</v>
      </c>
      <c r="O52" s="114" t="s">
        <v>319</v>
      </c>
      <c r="P52" s="114" t="s">
        <v>319</v>
      </c>
      <c r="Q52" s="114">
        <v>90</v>
      </c>
      <c r="R52" s="114">
        <v>485</v>
      </c>
      <c r="S52" s="126" t="s">
        <v>319</v>
      </c>
      <c r="T52" s="96"/>
      <c r="U52" s="96"/>
      <c r="W52" s="124" t="s">
        <v>319</v>
      </c>
      <c r="X52" s="124" t="s">
        <v>319</v>
      </c>
      <c r="Y52" s="126" t="s">
        <v>319</v>
      </c>
      <c r="Z52" s="126" t="s">
        <v>319</v>
      </c>
      <c r="AA52" s="124">
        <v>150</v>
      </c>
      <c r="AB52" s="124">
        <v>360</v>
      </c>
      <c r="AC52" s="126" t="s">
        <v>319</v>
      </c>
      <c r="AD52" s="117"/>
      <c r="AE52" s="117"/>
    </row>
    <row r="53" spans="1:31" ht="14.25" x14ac:dyDescent="0.2">
      <c r="A53" s="22">
        <v>42</v>
      </c>
      <c r="B53" s="94" t="s">
        <v>196</v>
      </c>
      <c r="C53" s="126" t="s">
        <v>319</v>
      </c>
      <c r="D53" s="126" t="s">
        <v>319</v>
      </c>
      <c r="E53" s="126" t="s">
        <v>319</v>
      </c>
      <c r="F53" s="126" t="s">
        <v>319</v>
      </c>
      <c r="G53" s="126">
        <f t="shared" si="17"/>
        <v>44.16</v>
      </c>
      <c r="H53" s="126">
        <f t="shared" si="18"/>
        <v>404.15999999999997</v>
      </c>
      <c r="I53" s="126" t="s">
        <v>319</v>
      </c>
      <c r="J53" s="96"/>
      <c r="K53" s="96"/>
      <c r="M53" s="114" t="s">
        <v>319</v>
      </c>
      <c r="N53" s="114" t="s">
        <v>319</v>
      </c>
      <c r="O53" s="114" t="s">
        <v>319</v>
      </c>
      <c r="P53" s="114" t="s">
        <v>319</v>
      </c>
      <c r="Q53" s="114">
        <v>90</v>
      </c>
      <c r="R53" s="114">
        <v>390</v>
      </c>
      <c r="S53" s="126" t="s">
        <v>319</v>
      </c>
      <c r="T53" s="96"/>
      <c r="U53" s="96"/>
      <c r="W53" s="124" t="s">
        <v>319</v>
      </c>
      <c r="X53" s="124" t="s">
        <v>319</v>
      </c>
      <c r="Y53" s="126" t="s">
        <v>319</v>
      </c>
      <c r="Z53" s="126" t="s">
        <v>319</v>
      </c>
      <c r="AA53" s="124">
        <v>150</v>
      </c>
      <c r="AB53" s="124">
        <v>240</v>
      </c>
      <c r="AC53" s="126" t="s">
        <v>319</v>
      </c>
      <c r="AD53" s="117"/>
      <c r="AE53" s="117"/>
    </row>
    <row r="54" spans="1:31" ht="14.25" x14ac:dyDescent="0.2">
      <c r="A54" s="22">
        <v>43</v>
      </c>
      <c r="B54" s="94" t="s">
        <v>197</v>
      </c>
      <c r="C54" s="126" t="s">
        <v>319</v>
      </c>
      <c r="D54" s="126" t="s">
        <v>319</v>
      </c>
      <c r="E54" s="126" t="s">
        <v>319</v>
      </c>
      <c r="F54" s="126" t="s">
        <v>319</v>
      </c>
      <c r="G54" s="126">
        <f t="shared" si="17"/>
        <v>44.16</v>
      </c>
      <c r="H54" s="126">
        <f t="shared" si="18"/>
        <v>404.15999999999997</v>
      </c>
      <c r="I54" s="126" t="s">
        <v>319</v>
      </c>
      <c r="J54" s="96"/>
      <c r="K54" s="96"/>
      <c r="M54" s="114" t="s">
        <v>319</v>
      </c>
      <c r="N54" s="114" t="s">
        <v>319</v>
      </c>
      <c r="O54" s="114" t="s">
        <v>319</v>
      </c>
      <c r="P54" s="114" t="s">
        <v>319</v>
      </c>
      <c r="Q54" s="114">
        <v>90</v>
      </c>
      <c r="R54" s="114">
        <v>450</v>
      </c>
      <c r="S54" s="126" t="s">
        <v>319</v>
      </c>
      <c r="T54" s="96"/>
      <c r="U54" s="96"/>
      <c r="W54" s="124" t="s">
        <v>319</v>
      </c>
      <c r="X54" s="124" t="s">
        <v>319</v>
      </c>
      <c r="Y54" s="126" t="s">
        <v>319</v>
      </c>
      <c r="Z54" s="126" t="s">
        <v>319</v>
      </c>
      <c r="AA54" s="124">
        <v>150</v>
      </c>
      <c r="AB54" s="124">
        <v>240</v>
      </c>
      <c r="AC54" s="126" t="s">
        <v>319</v>
      </c>
      <c r="AD54" s="117"/>
      <c r="AE54" s="117"/>
    </row>
    <row r="55" spans="1:31" ht="14.25" x14ac:dyDescent="0.2">
      <c r="A55" s="22">
        <v>44</v>
      </c>
      <c r="B55" s="94" t="s">
        <v>198</v>
      </c>
      <c r="C55" s="126" t="s">
        <v>319</v>
      </c>
      <c r="D55" s="126" t="s">
        <v>319</v>
      </c>
      <c r="E55" s="126" t="s">
        <v>319</v>
      </c>
      <c r="F55" s="126" t="s">
        <v>319</v>
      </c>
      <c r="G55" s="126">
        <f t="shared" si="17"/>
        <v>44.16</v>
      </c>
      <c r="H55" s="126">
        <f t="shared" si="18"/>
        <v>404.15999999999997</v>
      </c>
      <c r="I55" s="126" t="s">
        <v>319</v>
      </c>
      <c r="J55" s="96"/>
      <c r="K55" s="96"/>
      <c r="M55" s="114" t="s">
        <v>319</v>
      </c>
      <c r="N55" s="114" t="s">
        <v>319</v>
      </c>
      <c r="O55" s="114" t="s">
        <v>319</v>
      </c>
      <c r="P55" s="114" t="s">
        <v>319</v>
      </c>
      <c r="Q55" s="114">
        <v>90</v>
      </c>
      <c r="R55" s="114">
        <v>470</v>
      </c>
      <c r="S55" s="126" t="s">
        <v>319</v>
      </c>
      <c r="T55" s="96"/>
      <c r="U55" s="96"/>
      <c r="W55" s="124" t="s">
        <v>319</v>
      </c>
      <c r="X55" s="124" t="s">
        <v>319</v>
      </c>
      <c r="Y55" s="126" t="s">
        <v>319</v>
      </c>
      <c r="Z55" s="126" t="s">
        <v>319</v>
      </c>
      <c r="AA55" s="124">
        <v>150</v>
      </c>
      <c r="AB55" s="124">
        <v>240</v>
      </c>
      <c r="AC55" s="126" t="s">
        <v>319</v>
      </c>
      <c r="AD55" s="117"/>
      <c r="AE55" s="117"/>
    </row>
    <row r="56" spans="1:31" ht="14.25" x14ac:dyDescent="0.2">
      <c r="A56" s="22">
        <v>45</v>
      </c>
      <c r="B56" s="94" t="s">
        <v>199</v>
      </c>
      <c r="C56" s="126" t="s">
        <v>319</v>
      </c>
      <c r="D56" s="126" t="s">
        <v>319</v>
      </c>
      <c r="E56" s="126" t="s">
        <v>319</v>
      </c>
      <c r="F56" s="126" t="s">
        <v>319</v>
      </c>
      <c r="G56" s="126">
        <f t="shared" si="17"/>
        <v>44.16</v>
      </c>
      <c r="H56" s="126">
        <f t="shared" si="18"/>
        <v>404.15999999999997</v>
      </c>
      <c r="I56" s="126" t="s">
        <v>319</v>
      </c>
      <c r="J56" s="96"/>
      <c r="K56" s="96"/>
      <c r="M56" s="114" t="s">
        <v>319</v>
      </c>
      <c r="N56" s="114" t="s">
        <v>319</v>
      </c>
      <c r="O56" s="114" t="s">
        <v>319</v>
      </c>
      <c r="P56" s="114" t="s">
        <v>319</v>
      </c>
      <c r="Q56" s="114">
        <v>85</v>
      </c>
      <c r="R56" s="114">
        <v>430</v>
      </c>
      <c r="S56" s="126" t="s">
        <v>319</v>
      </c>
      <c r="T56" s="96"/>
      <c r="U56" s="96"/>
      <c r="W56" s="124" t="s">
        <v>319</v>
      </c>
      <c r="X56" s="124" t="s">
        <v>319</v>
      </c>
      <c r="Y56" s="126" t="s">
        <v>319</v>
      </c>
      <c r="Z56" s="126" t="s">
        <v>319</v>
      </c>
      <c r="AA56" s="124">
        <v>150</v>
      </c>
      <c r="AB56" s="124">
        <v>240</v>
      </c>
      <c r="AC56" s="126" t="s">
        <v>319</v>
      </c>
      <c r="AD56" s="117"/>
      <c r="AE56" s="117"/>
    </row>
    <row r="57" spans="1:31" ht="14.25" x14ac:dyDescent="0.2">
      <c r="A57" s="22">
        <v>46</v>
      </c>
      <c r="B57" s="94" t="s">
        <v>200</v>
      </c>
      <c r="C57" s="126" t="s">
        <v>319</v>
      </c>
      <c r="D57" s="126" t="s">
        <v>319</v>
      </c>
      <c r="E57" s="126" t="s">
        <v>319</v>
      </c>
      <c r="F57" s="126" t="s">
        <v>319</v>
      </c>
      <c r="G57" s="126" t="s">
        <v>319</v>
      </c>
      <c r="H57" s="126" t="s">
        <v>319</v>
      </c>
      <c r="I57" s="126" t="s">
        <v>319</v>
      </c>
      <c r="J57" s="96"/>
      <c r="K57" s="96"/>
      <c r="M57" s="114" t="s">
        <v>319</v>
      </c>
      <c r="N57" s="114" t="s">
        <v>319</v>
      </c>
      <c r="O57" s="114" t="s">
        <v>319</v>
      </c>
      <c r="P57" s="114" t="s">
        <v>319</v>
      </c>
      <c r="Q57" s="114">
        <v>80</v>
      </c>
      <c r="R57" s="114">
        <v>150</v>
      </c>
      <c r="S57" s="126" t="s">
        <v>319</v>
      </c>
      <c r="T57" s="96"/>
      <c r="U57" s="96"/>
      <c r="W57" s="124" t="s">
        <v>319</v>
      </c>
      <c r="X57" s="124" t="s">
        <v>319</v>
      </c>
      <c r="Y57" s="126" t="s">
        <v>319</v>
      </c>
      <c r="Z57" s="126" t="s">
        <v>319</v>
      </c>
      <c r="AA57" s="124">
        <v>30</v>
      </c>
      <c r="AB57" s="124">
        <v>30</v>
      </c>
      <c r="AC57" s="126" t="s">
        <v>319</v>
      </c>
      <c r="AD57" s="117"/>
      <c r="AE57" s="117"/>
    </row>
    <row r="58" spans="1:31" ht="14.25" x14ac:dyDescent="0.2">
      <c r="A58" s="22">
        <v>47</v>
      </c>
      <c r="B58" s="94" t="s">
        <v>201</v>
      </c>
      <c r="C58" s="126">
        <f>(200*0.96)</f>
        <v>192</v>
      </c>
      <c r="D58" s="126">
        <f>(600*0.96)</f>
        <v>576</v>
      </c>
      <c r="E58" s="126" t="s">
        <v>319</v>
      </c>
      <c r="F58" s="126">
        <f t="shared" ref="F58" si="19">(300*0.96)</f>
        <v>288</v>
      </c>
      <c r="G58" s="126">
        <f>(228*0.96)</f>
        <v>218.88</v>
      </c>
      <c r="H58" s="126">
        <f>(2073*0.96)</f>
        <v>1990.08</v>
      </c>
      <c r="I58" s="126" t="s">
        <v>319</v>
      </c>
      <c r="J58" s="96"/>
      <c r="K58" s="96"/>
      <c r="M58" s="114">
        <v>230</v>
      </c>
      <c r="N58" s="114">
        <v>300</v>
      </c>
      <c r="O58" s="114">
        <v>100</v>
      </c>
      <c r="P58" s="114">
        <v>325</v>
      </c>
      <c r="Q58" s="114">
        <v>160</v>
      </c>
      <c r="R58" s="114">
        <v>2220</v>
      </c>
      <c r="S58" s="126" t="s">
        <v>319</v>
      </c>
      <c r="T58" s="96"/>
      <c r="U58" s="96"/>
      <c r="W58" s="124">
        <v>720</v>
      </c>
      <c r="X58" s="124">
        <v>240</v>
      </c>
      <c r="Y58" s="126" t="s">
        <v>319</v>
      </c>
      <c r="Z58" s="124">
        <v>500</v>
      </c>
      <c r="AA58" s="124">
        <v>100</v>
      </c>
      <c r="AB58" s="124">
        <v>1920</v>
      </c>
      <c r="AC58" s="124">
        <v>180</v>
      </c>
      <c r="AD58" s="134" t="s">
        <v>292</v>
      </c>
      <c r="AE58" s="134" t="s">
        <v>292</v>
      </c>
    </row>
    <row r="59" spans="1:31" ht="14.25" x14ac:dyDescent="0.2">
      <c r="A59" s="22">
        <v>48</v>
      </c>
      <c r="B59" s="94" t="s">
        <v>202</v>
      </c>
      <c r="C59" s="126" t="s">
        <v>319</v>
      </c>
      <c r="D59" s="126" t="s">
        <v>319</v>
      </c>
      <c r="E59" s="126" t="s">
        <v>319</v>
      </c>
      <c r="F59" s="126" t="s">
        <v>319</v>
      </c>
      <c r="G59" s="126">
        <f>(67*0.96)</f>
        <v>64.319999999999993</v>
      </c>
      <c r="H59" s="126">
        <f>(608*0.96)</f>
        <v>583.67999999999995</v>
      </c>
      <c r="I59" s="126" t="s">
        <v>319</v>
      </c>
      <c r="J59" s="96"/>
      <c r="K59" s="96"/>
      <c r="M59" s="114" t="s">
        <v>319</v>
      </c>
      <c r="N59" s="114" t="s">
        <v>319</v>
      </c>
      <c r="O59" s="114" t="s">
        <v>319</v>
      </c>
      <c r="P59" s="114" t="s">
        <v>319</v>
      </c>
      <c r="Q59" s="114">
        <v>95</v>
      </c>
      <c r="R59" s="114">
        <v>260</v>
      </c>
      <c r="S59" s="126" t="s">
        <v>319</v>
      </c>
      <c r="T59" s="96"/>
      <c r="U59" s="96"/>
      <c r="W59" s="124" t="s">
        <v>319</v>
      </c>
      <c r="X59" s="124" t="s">
        <v>319</v>
      </c>
      <c r="Y59" s="126" t="s">
        <v>319</v>
      </c>
      <c r="Z59" s="126" t="s">
        <v>319</v>
      </c>
      <c r="AA59" s="124">
        <v>75</v>
      </c>
      <c r="AB59" s="124">
        <v>120</v>
      </c>
      <c r="AC59" s="126" t="s">
        <v>319</v>
      </c>
      <c r="AD59" s="117"/>
      <c r="AE59" s="117"/>
    </row>
    <row r="60" spans="1:31" ht="14.25" x14ac:dyDescent="0.2">
      <c r="A60" s="22">
        <v>49</v>
      </c>
      <c r="B60" s="94" t="s">
        <v>203</v>
      </c>
      <c r="C60" s="126" t="s">
        <v>319</v>
      </c>
      <c r="D60" s="126" t="s">
        <v>319</v>
      </c>
      <c r="E60" s="126" t="s">
        <v>319</v>
      </c>
      <c r="F60" s="126" t="s">
        <v>319</v>
      </c>
      <c r="G60" s="126">
        <f>(57*0.96)</f>
        <v>54.72</v>
      </c>
      <c r="H60" s="126">
        <f>(513*0.96)</f>
        <v>492.47999999999996</v>
      </c>
      <c r="I60" s="126" t="s">
        <v>319</v>
      </c>
      <c r="J60" s="96"/>
      <c r="K60" s="96"/>
      <c r="M60" s="114" t="s">
        <v>319</v>
      </c>
      <c r="N60" s="114" t="s">
        <v>319</v>
      </c>
      <c r="O60" s="114" t="s">
        <v>319</v>
      </c>
      <c r="P60" s="114" t="s">
        <v>319</v>
      </c>
      <c r="Q60" s="114">
        <v>90</v>
      </c>
      <c r="R60" s="114">
        <v>365</v>
      </c>
      <c r="S60" s="126" t="s">
        <v>319</v>
      </c>
      <c r="T60" s="96"/>
      <c r="U60" s="96"/>
      <c r="W60" s="124" t="s">
        <v>319</v>
      </c>
      <c r="X60" s="124" t="s">
        <v>319</v>
      </c>
      <c r="Y60" s="126" t="s">
        <v>319</v>
      </c>
      <c r="Z60" s="126" t="s">
        <v>319</v>
      </c>
      <c r="AA60" s="124">
        <v>30</v>
      </c>
      <c r="AB60" s="124">
        <v>30</v>
      </c>
      <c r="AC60" s="126" t="s">
        <v>319</v>
      </c>
      <c r="AD60" s="117"/>
      <c r="AE60" s="117"/>
    </row>
    <row r="61" spans="1:31" ht="17.45" customHeight="1" x14ac:dyDescent="0.2">
      <c r="A61" s="22">
        <v>50</v>
      </c>
      <c r="B61" s="94" t="s">
        <v>204</v>
      </c>
      <c r="C61" s="126" t="s">
        <v>319</v>
      </c>
      <c r="D61" s="126" t="s">
        <v>319</v>
      </c>
      <c r="E61" s="126" t="s">
        <v>319</v>
      </c>
      <c r="F61" s="126" t="s">
        <v>319</v>
      </c>
      <c r="G61" s="126">
        <f>(67*0.96)</f>
        <v>64.319999999999993</v>
      </c>
      <c r="H61" s="126">
        <f>(608*0.96)</f>
        <v>583.67999999999995</v>
      </c>
      <c r="I61" s="126" t="s">
        <v>319</v>
      </c>
      <c r="J61" s="96"/>
      <c r="K61" s="96"/>
      <c r="M61" s="114" t="s">
        <v>319</v>
      </c>
      <c r="N61" s="114" t="s">
        <v>319</v>
      </c>
      <c r="O61" s="114" t="s">
        <v>319</v>
      </c>
      <c r="P61" s="114" t="s">
        <v>319</v>
      </c>
      <c r="Q61" s="114">
        <v>90</v>
      </c>
      <c r="R61" s="114">
        <v>190</v>
      </c>
      <c r="S61" s="126" t="s">
        <v>319</v>
      </c>
      <c r="T61" s="96"/>
      <c r="U61" s="96"/>
      <c r="W61" s="124" t="s">
        <v>319</v>
      </c>
      <c r="X61" s="124" t="s">
        <v>319</v>
      </c>
      <c r="Y61" s="126" t="s">
        <v>319</v>
      </c>
      <c r="Z61" s="126" t="s">
        <v>319</v>
      </c>
      <c r="AA61" s="124">
        <v>75</v>
      </c>
      <c r="AB61" s="124">
        <v>120</v>
      </c>
      <c r="AC61" s="126" t="s">
        <v>319</v>
      </c>
      <c r="AD61" s="117"/>
      <c r="AE61" s="117"/>
    </row>
    <row r="62" spans="1:31" ht="14.25" x14ac:dyDescent="0.2">
      <c r="A62" s="22">
        <v>51</v>
      </c>
      <c r="B62" s="94" t="s">
        <v>289</v>
      </c>
      <c r="C62" s="126" t="s">
        <v>319</v>
      </c>
      <c r="D62" s="126" t="s">
        <v>319</v>
      </c>
      <c r="E62" s="126" t="s">
        <v>319</v>
      </c>
      <c r="F62" s="126" t="s">
        <v>319</v>
      </c>
      <c r="G62" s="126">
        <f>(67*0.96)</f>
        <v>64.319999999999993</v>
      </c>
      <c r="H62" s="126">
        <f t="shared" ref="H62:H63" si="20">(608*0.96)</f>
        <v>583.67999999999995</v>
      </c>
      <c r="I62" s="126" t="s">
        <v>319</v>
      </c>
      <c r="J62" s="95">
        <v>23</v>
      </c>
      <c r="K62" s="95">
        <v>150</v>
      </c>
      <c r="M62" s="114" t="s">
        <v>319</v>
      </c>
      <c r="N62" s="114" t="s">
        <v>319</v>
      </c>
      <c r="O62" s="114" t="s">
        <v>319</v>
      </c>
      <c r="P62" s="114" t="s">
        <v>319</v>
      </c>
      <c r="Q62" s="114">
        <v>90</v>
      </c>
      <c r="R62" s="114">
        <v>425</v>
      </c>
      <c r="S62" s="126" t="s">
        <v>319</v>
      </c>
      <c r="T62" s="95">
        <v>18</v>
      </c>
      <c r="U62" s="95">
        <v>70</v>
      </c>
      <c r="W62" s="124" t="s">
        <v>319</v>
      </c>
      <c r="X62" s="124" t="s">
        <v>319</v>
      </c>
      <c r="Y62" s="126" t="s">
        <v>319</v>
      </c>
      <c r="Z62" s="126" t="s">
        <v>319</v>
      </c>
      <c r="AA62" s="124">
        <v>150</v>
      </c>
      <c r="AB62" s="124">
        <v>360</v>
      </c>
      <c r="AC62" s="126" t="s">
        <v>319</v>
      </c>
      <c r="AD62" s="124">
        <v>31.25</v>
      </c>
      <c r="AE62" s="124">
        <v>200</v>
      </c>
    </row>
    <row r="63" spans="1:31" ht="14.25" x14ac:dyDescent="0.2">
      <c r="A63" s="22">
        <v>52</v>
      </c>
      <c r="B63" s="94" t="s">
        <v>205</v>
      </c>
      <c r="C63" s="126">
        <f>(35*0.96)</f>
        <v>33.6</v>
      </c>
      <c r="D63" s="126">
        <f t="shared" ref="D63:D64" si="21">(105*0.96)</f>
        <v>100.8</v>
      </c>
      <c r="E63" s="126" t="s">
        <v>319</v>
      </c>
      <c r="F63" s="126">
        <f t="shared" ref="F63:F66" si="22">(300*0.96)</f>
        <v>288</v>
      </c>
      <c r="G63" s="126">
        <f>(67*0.96)</f>
        <v>64.319999999999993</v>
      </c>
      <c r="H63" s="126">
        <f t="shared" si="20"/>
        <v>583.67999999999995</v>
      </c>
      <c r="I63" s="126" t="s">
        <v>319</v>
      </c>
      <c r="J63" s="96"/>
      <c r="K63" s="96"/>
      <c r="M63" s="114">
        <v>150</v>
      </c>
      <c r="N63" s="114">
        <v>150</v>
      </c>
      <c r="O63" s="126" t="s">
        <v>319</v>
      </c>
      <c r="P63" s="114">
        <v>325</v>
      </c>
      <c r="Q63" s="114">
        <v>85</v>
      </c>
      <c r="R63" s="114">
        <v>300</v>
      </c>
      <c r="S63" s="126" t="s">
        <v>319</v>
      </c>
      <c r="T63" s="96"/>
      <c r="U63" s="96"/>
      <c r="W63" s="124">
        <v>360</v>
      </c>
      <c r="X63" s="124">
        <v>120</v>
      </c>
      <c r="Y63" s="126" t="s">
        <v>319</v>
      </c>
      <c r="Z63" s="124">
        <v>500</v>
      </c>
      <c r="AA63" s="124">
        <v>100</v>
      </c>
      <c r="AB63" s="124">
        <v>240</v>
      </c>
      <c r="AC63" s="126" t="s">
        <v>319</v>
      </c>
      <c r="AD63" s="117"/>
      <c r="AE63" s="117"/>
    </row>
    <row r="64" spans="1:31" ht="14.25" x14ac:dyDescent="0.2">
      <c r="A64" s="22">
        <v>53</v>
      </c>
      <c r="B64" s="94" t="s">
        <v>206</v>
      </c>
      <c r="C64" s="126">
        <f>(35*0.96)</f>
        <v>33.6</v>
      </c>
      <c r="D64" s="126">
        <f t="shared" si="21"/>
        <v>100.8</v>
      </c>
      <c r="E64" s="126" t="s">
        <v>319</v>
      </c>
      <c r="F64" s="126">
        <f t="shared" si="22"/>
        <v>288</v>
      </c>
      <c r="G64" s="126">
        <f>(26*0.96)</f>
        <v>24.96</v>
      </c>
      <c r="H64" s="126">
        <f>(234*0.96)</f>
        <v>224.64</v>
      </c>
      <c r="I64" s="126" t="s">
        <v>319</v>
      </c>
      <c r="J64" s="96"/>
      <c r="K64" s="96"/>
      <c r="M64" s="114">
        <v>150</v>
      </c>
      <c r="N64" s="114">
        <v>150</v>
      </c>
      <c r="O64" s="126" t="s">
        <v>319</v>
      </c>
      <c r="P64" s="114">
        <v>325</v>
      </c>
      <c r="Q64" s="114">
        <v>85</v>
      </c>
      <c r="R64" s="114">
        <v>160</v>
      </c>
      <c r="S64" s="126" t="s">
        <v>319</v>
      </c>
      <c r="T64" s="96"/>
      <c r="U64" s="96"/>
      <c r="W64" s="124">
        <v>360</v>
      </c>
      <c r="X64" s="124">
        <v>120</v>
      </c>
      <c r="Y64" s="126" t="s">
        <v>319</v>
      </c>
      <c r="Z64" s="124">
        <v>500</v>
      </c>
      <c r="AA64" s="124">
        <v>30</v>
      </c>
      <c r="AB64" s="124">
        <v>30</v>
      </c>
      <c r="AC64" s="124">
        <v>60</v>
      </c>
      <c r="AD64" s="117"/>
      <c r="AE64" s="117"/>
    </row>
    <row r="65" spans="1:31" ht="14.25" x14ac:dyDescent="0.2">
      <c r="A65" s="22">
        <v>54</v>
      </c>
      <c r="B65" s="94" t="s">
        <v>207</v>
      </c>
      <c r="C65" s="126">
        <f>(77*0.96)</f>
        <v>73.92</v>
      </c>
      <c r="D65" s="126">
        <f>(235*0.96)</f>
        <v>225.6</v>
      </c>
      <c r="E65" s="126" t="s">
        <v>319</v>
      </c>
      <c r="F65" s="126">
        <f t="shared" si="22"/>
        <v>288</v>
      </c>
      <c r="G65" s="126">
        <f>(57*0.96)</f>
        <v>54.72</v>
      </c>
      <c r="H65" s="126">
        <f>(513*0.96)</f>
        <v>492.47999999999996</v>
      </c>
      <c r="I65" s="126" t="s">
        <v>319</v>
      </c>
      <c r="J65" s="96"/>
      <c r="K65" s="96"/>
      <c r="M65" s="114">
        <v>250</v>
      </c>
      <c r="N65" s="114">
        <v>522</v>
      </c>
      <c r="O65" s="126" t="s">
        <v>319</v>
      </c>
      <c r="P65" s="114">
        <v>325</v>
      </c>
      <c r="Q65" s="114">
        <v>120</v>
      </c>
      <c r="R65" s="114">
        <v>520</v>
      </c>
      <c r="S65" s="126" t="s">
        <v>319</v>
      </c>
      <c r="T65" s="96"/>
      <c r="U65" s="96"/>
      <c r="W65" s="124">
        <v>1080</v>
      </c>
      <c r="X65" s="124">
        <v>360</v>
      </c>
      <c r="Y65" s="126" t="s">
        <v>319</v>
      </c>
      <c r="Z65" s="124">
        <v>500</v>
      </c>
      <c r="AA65" s="124">
        <v>100</v>
      </c>
      <c r="AB65" s="124">
        <v>360</v>
      </c>
      <c r="AC65" s="124">
        <v>60</v>
      </c>
      <c r="AD65" s="117"/>
      <c r="AE65" s="117"/>
    </row>
    <row r="66" spans="1:31" ht="14.25" x14ac:dyDescent="0.2">
      <c r="A66" s="22">
        <v>55</v>
      </c>
      <c r="B66" s="94" t="s">
        <v>303</v>
      </c>
      <c r="C66" s="126">
        <f>(117*0.96)</f>
        <v>112.32</v>
      </c>
      <c r="D66" s="126">
        <f>(349*0.96)</f>
        <v>335.03999999999996</v>
      </c>
      <c r="E66" s="126" t="s">
        <v>319</v>
      </c>
      <c r="F66" s="126">
        <f t="shared" si="22"/>
        <v>288</v>
      </c>
      <c r="G66" s="126">
        <f>(125*0.96)</f>
        <v>120</v>
      </c>
      <c r="H66" s="126">
        <f>(1125*0.96)</f>
        <v>1080</v>
      </c>
      <c r="I66" s="126" t="s">
        <v>319</v>
      </c>
      <c r="J66" s="96"/>
      <c r="K66" s="96"/>
      <c r="M66" s="114">
        <v>250</v>
      </c>
      <c r="N66" s="114">
        <v>522</v>
      </c>
      <c r="O66" s="126" t="s">
        <v>319</v>
      </c>
      <c r="P66" s="114">
        <v>325</v>
      </c>
      <c r="Q66" s="114">
        <v>120</v>
      </c>
      <c r="R66" s="114">
        <v>315</v>
      </c>
      <c r="S66" s="126" t="s">
        <v>319</v>
      </c>
      <c r="T66" s="96"/>
      <c r="U66" s="96"/>
      <c r="W66" s="124" t="s">
        <v>319</v>
      </c>
      <c r="X66" s="124" t="s">
        <v>319</v>
      </c>
      <c r="Y66" s="126" t="s">
        <v>319</v>
      </c>
      <c r="Z66" s="126" t="s">
        <v>319</v>
      </c>
      <c r="AA66" s="124">
        <v>30</v>
      </c>
      <c r="AB66" s="124">
        <v>50</v>
      </c>
      <c r="AC66" s="126" t="s">
        <v>319</v>
      </c>
      <c r="AD66" s="117"/>
      <c r="AE66" s="117"/>
    </row>
    <row r="67" spans="1:31" ht="14.25" x14ac:dyDescent="0.2">
      <c r="A67" s="22">
        <v>56</v>
      </c>
      <c r="B67" s="211" t="s">
        <v>477</v>
      </c>
      <c r="C67" s="186" t="s">
        <v>319</v>
      </c>
      <c r="D67" s="186" t="s">
        <v>319</v>
      </c>
      <c r="E67" s="186" t="s">
        <v>319</v>
      </c>
      <c r="F67" s="186" t="s">
        <v>319</v>
      </c>
      <c r="G67" s="186">
        <v>200</v>
      </c>
      <c r="H67" s="186">
        <v>500</v>
      </c>
      <c r="I67" s="186" t="s">
        <v>319</v>
      </c>
      <c r="J67" s="96"/>
      <c r="K67" s="96"/>
      <c r="M67" s="186" t="s">
        <v>319</v>
      </c>
      <c r="N67" s="186" t="s">
        <v>319</v>
      </c>
      <c r="O67" s="186" t="s">
        <v>319</v>
      </c>
      <c r="P67" s="186" t="s">
        <v>319</v>
      </c>
      <c r="Q67" s="186" t="s">
        <v>319</v>
      </c>
      <c r="R67" s="186" t="s">
        <v>319</v>
      </c>
      <c r="S67" s="186" t="s">
        <v>319</v>
      </c>
      <c r="T67" s="96"/>
      <c r="U67" s="96"/>
      <c r="W67" s="186" t="s">
        <v>319</v>
      </c>
      <c r="X67" s="186" t="s">
        <v>319</v>
      </c>
      <c r="Y67" s="186" t="s">
        <v>319</v>
      </c>
      <c r="Z67" s="186" t="s">
        <v>319</v>
      </c>
      <c r="AA67" s="186">
        <v>120</v>
      </c>
      <c r="AB67" s="186">
        <v>360</v>
      </c>
      <c r="AC67" s="186" t="s">
        <v>319</v>
      </c>
      <c r="AD67" s="117"/>
      <c r="AE67" s="117"/>
    </row>
    <row r="68" spans="1:31" ht="14.25" x14ac:dyDescent="0.2">
      <c r="A68" s="22">
        <v>57</v>
      </c>
      <c r="B68" s="211" t="s">
        <v>478</v>
      </c>
      <c r="C68" s="186" t="s">
        <v>319</v>
      </c>
      <c r="D68" s="186" t="s">
        <v>319</v>
      </c>
      <c r="E68" s="186" t="s">
        <v>319</v>
      </c>
      <c r="F68" s="186" t="s">
        <v>319</v>
      </c>
      <c r="G68" s="186">
        <v>200</v>
      </c>
      <c r="H68" s="186">
        <v>500</v>
      </c>
      <c r="I68" s="186" t="s">
        <v>319</v>
      </c>
      <c r="J68" s="96"/>
      <c r="K68" s="96"/>
      <c r="M68" s="186" t="s">
        <v>319</v>
      </c>
      <c r="N68" s="186" t="s">
        <v>319</v>
      </c>
      <c r="O68" s="186" t="s">
        <v>319</v>
      </c>
      <c r="P68" s="186" t="s">
        <v>319</v>
      </c>
      <c r="Q68" s="186" t="s">
        <v>319</v>
      </c>
      <c r="R68" s="186" t="s">
        <v>319</v>
      </c>
      <c r="S68" s="186" t="s">
        <v>319</v>
      </c>
      <c r="T68" s="96"/>
      <c r="U68" s="96"/>
      <c r="W68" s="186" t="s">
        <v>319</v>
      </c>
      <c r="X68" s="186" t="s">
        <v>319</v>
      </c>
      <c r="Y68" s="186" t="s">
        <v>319</v>
      </c>
      <c r="Z68" s="186" t="s">
        <v>319</v>
      </c>
      <c r="AA68" s="186">
        <v>120</v>
      </c>
      <c r="AB68" s="186">
        <v>360</v>
      </c>
      <c r="AC68" s="186" t="s">
        <v>319</v>
      </c>
      <c r="AD68" s="117"/>
      <c r="AE68" s="117"/>
    </row>
    <row r="69" spans="1:31" x14ac:dyDescent="0.15">
      <c r="A69" s="22"/>
      <c r="C69" s="135"/>
      <c r="D69" s="135"/>
      <c r="E69" s="135"/>
      <c r="F69" s="135"/>
      <c r="G69" s="135"/>
      <c r="H69" s="135"/>
      <c r="I69" s="135"/>
      <c r="J69" s="97"/>
      <c r="K69" s="97"/>
      <c r="M69" s="97"/>
      <c r="N69" s="97"/>
      <c r="O69" s="97"/>
      <c r="P69" s="97"/>
      <c r="Q69" s="97"/>
      <c r="R69" s="97"/>
      <c r="S69" s="97"/>
      <c r="T69" s="97"/>
      <c r="U69" s="97"/>
    </row>
    <row r="70" spans="1:31" ht="15.75" x14ac:dyDescent="0.25">
      <c r="A70" s="22"/>
      <c r="B70" s="50" t="s">
        <v>2</v>
      </c>
      <c r="C70" s="126">
        <v>2686.08</v>
      </c>
      <c r="D70" s="126">
        <v>8081.28</v>
      </c>
      <c r="E70" s="126" t="s">
        <v>319</v>
      </c>
      <c r="F70" s="126">
        <v>7200</v>
      </c>
      <c r="G70" s="126">
        <v>3911.68</v>
      </c>
      <c r="H70" s="126">
        <v>34233.279999999999</v>
      </c>
      <c r="I70" s="126" t="s">
        <v>319</v>
      </c>
      <c r="J70" s="95">
        <v>92</v>
      </c>
      <c r="K70" s="95">
        <v>600</v>
      </c>
      <c r="M70" s="95">
        <v>6980</v>
      </c>
      <c r="N70" s="95">
        <v>11930</v>
      </c>
      <c r="O70" s="95">
        <v>1400</v>
      </c>
      <c r="P70" s="95">
        <v>8775</v>
      </c>
      <c r="Q70" s="95">
        <v>5775</v>
      </c>
      <c r="R70" s="95">
        <v>34475</v>
      </c>
      <c r="S70" s="126" t="s">
        <v>319</v>
      </c>
      <c r="T70" s="95">
        <v>72</v>
      </c>
      <c r="U70" s="95">
        <v>280</v>
      </c>
      <c r="W70" s="121">
        <v>13935</v>
      </c>
      <c r="X70" s="121">
        <v>5005</v>
      </c>
      <c r="Y70" s="121">
        <v>960</v>
      </c>
      <c r="Z70" s="121">
        <v>11800</v>
      </c>
      <c r="AA70" s="121">
        <v>5315</v>
      </c>
      <c r="AB70" s="121">
        <v>29190</v>
      </c>
      <c r="AC70" s="121">
        <v>1560</v>
      </c>
      <c r="AD70" s="121">
        <v>125</v>
      </c>
      <c r="AE70" s="121">
        <v>600</v>
      </c>
    </row>
    <row r="71" spans="1:31" x14ac:dyDescent="0.15">
      <c r="A71" s="22"/>
      <c r="M71" s="97"/>
      <c r="N71" s="97"/>
      <c r="O71" s="97"/>
      <c r="P71" s="97"/>
      <c r="Q71" s="97"/>
      <c r="R71" s="97"/>
      <c r="S71" s="97"/>
      <c r="T71" s="97"/>
      <c r="U71" s="97"/>
    </row>
    <row r="72" spans="1:31" x14ac:dyDescent="0.15">
      <c r="A72" s="22"/>
      <c r="M72" s="97"/>
      <c r="N72" s="97"/>
      <c r="O72" s="97"/>
      <c r="P72" s="97"/>
      <c r="Q72" s="97"/>
      <c r="R72" s="97"/>
      <c r="S72" s="97"/>
      <c r="T72" s="97"/>
      <c r="U72" s="97"/>
    </row>
    <row r="73" spans="1:31" ht="15" x14ac:dyDescent="0.25">
      <c r="A73" s="22"/>
      <c r="B73" s="3" t="s">
        <v>4</v>
      </c>
      <c r="C73" s="4" t="s">
        <v>5</v>
      </c>
      <c r="D73" s="4" t="s">
        <v>6</v>
      </c>
      <c r="E73" s="10" t="s">
        <v>7</v>
      </c>
      <c r="M73" s="107" t="s">
        <v>5</v>
      </c>
      <c r="N73" s="107" t="s">
        <v>6</v>
      </c>
      <c r="O73" s="108" t="s">
        <v>7</v>
      </c>
      <c r="P73" s="97"/>
      <c r="Q73" s="97"/>
      <c r="R73" s="97"/>
      <c r="S73" s="97"/>
      <c r="T73" s="97"/>
      <c r="U73" s="97"/>
      <c r="W73" s="4" t="s">
        <v>5</v>
      </c>
      <c r="X73" s="4" t="s">
        <v>6</v>
      </c>
      <c r="Y73" s="10" t="s">
        <v>7</v>
      </c>
    </row>
    <row r="74" spans="1:31" ht="14.25" x14ac:dyDescent="0.2">
      <c r="A74" s="22"/>
      <c r="B74" s="3"/>
      <c r="C74" s="95">
        <v>185</v>
      </c>
      <c r="D74" s="127">
        <v>185</v>
      </c>
      <c r="E74" s="95">
        <v>150</v>
      </c>
      <c r="M74" s="95">
        <v>176.44</v>
      </c>
      <c r="N74" s="95">
        <v>176.44</v>
      </c>
      <c r="O74" s="95">
        <v>143.16</v>
      </c>
      <c r="P74" s="97"/>
      <c r="Q74" s="97"/>
      <c r="R74" s="97"/>
      <c r="S74" s="97"/>
      <c r="T74" s="97"/>
      <c r="U74" s="97"/>
      <c r="W74" s="120">
        <v>180</v>
      </c>
      <c r="X74" s="120">
        <v>240</v>
      </c>
      <c r="Y74" s="120">
        <v>180</v>
      </c>
    </row>
    <row r="75" spans="1:31" ht="14.25" x14ac:dyDescent="0.2">
      <c r="B75" s="3"/>
    </row>
    <row r="76" spans="1:31" ht="14.25" x14ac:dyDescent="0.2">
      <c r="B76" s="3" t="s">
        <v>10</v>
      </c>
      <c r="C76" s="216" t="s">
        <v>317</v>
      </c>
      <c r="D76" s="217"/>
      <c r="E76" s="218"/>
      <c r="M76" s="216"/>
      <c r="N76" s="217"/>
      <c r="O76" s="218"/>
      <c r="W76" s="223" t="s">
        <v>327</v>
      </c>
      <c r="X76" s="224"/>
      <c r="Y76" s="225"/>
    </row>
    <row r="77" spans="1:31" ht="14.25" x14ac:dyDescent="0.2">
      <c r="B77" s="3"/>
      <c r="C77" s="216" t="s">
        <v>318</v>
      </c>
      <c r="D77" s="217"/>
      <c r="E77" s="218"/>
      <c r="M77" s="216"/>
      <c r="N77" s="217"/>
      <c r="O77" s="218"/>
      <c r="W77" s="223" t="s">
        <v>328</v>
      </c>
      <c r="X77" s="224"/>
      <c r="Y77" s="225"/>
    </row>
    <row r="78" spans="1:31" ht="14.25" x14ac:dyDescent="0.2">
      <c r="B78" s="3"/>
      <c r="C78" s="216" t="s">
        <v>313</v>
      </c>
      <c r="D78" s="217"/>
      <c r="E78" s="218"/>
      <c r="M78" s="216"/>
      <c r="N78" s="217"/>
      <c r="O78" s="218"/>
      <c r="W78" s="223" t="s">
        <v>329</v>
      </c>
      <c r="X78" s="224"/>
      <c r="Y78" s="225"/>
    </row>
    <row r="79" spans="1:31" ht="14.25" x14ac:dyDescent="0.2">
      <c r="B79" s="3"/>
      <c r="C79" s="216" t="s">
        <v>310</v>
      </c>
      <c r="D79" s="217"/>
      <c r="E79" s="218"/>
      <c r="M79" s="216"/>
      <c r="N79" s="217"/>
      <c r="O79" s="218"/>
      <c r="W79" s="223" t="s">
        <v>330</v>
      </c>
      <c r="X79" s="224"/>
      <c r="Y79" s="225"/>
    </row>
    <row r="80" spans="1:31" ht="14.25" x14ac:dyDescent="0.2">
      <c r="B80" s="3"/>
      <c r="C80" s="216" t="s">
        <v>314</v>
      </c>
      <c r="D80" s="217"/>
      <c r="E80" s="218"/>
      <c r="M80" s="216"/>
      <c r="N80" s="217"/>
      <c r="O80" s="218"/>
      <c r="W80" s="216"/>
      <c r="X80" s="217"/>
      <c r="Y80" s="218"/>
    </row>
    <row r="84" spans="2:5" x14ac:dyDescent="0.15">
      <c r="B84" s="155"/>
      <c r="C84" s="156"/>
      <c r="D84" s="156"/>
      <c r="E84" s="156"/>
    </row>
    <row r="85" spans="2:5" x14ac:dyDescent="0.15">
      <c r="B85" s="155"/>
      <c r="C85" s="156"/>
      <c r="D85" s="156"/>
      <c r="E85" s="156"/>
    </row>
    <row r="86" spans="2:5" x14ac:dyDescent="0.15">
      <c r="B86" s="155"/>
      <c r="C86" s="156"/>
      <c r="D86" s="156"/>
      <c r="E86" s="156"/>
    </row>
    <row r="87" spans="2:5" x14ac:dyDescent="0.15">
      <c r="B87" s="155"/>
      <c r="C87" s="156"/>
      <c r="D87" s="156"/>
      <c r="E87" s="156"/>
    </row>
  </sheetData>
  <mergeCells count="37">
    <mergeCell ref="W8:AA8"/>
    <mergeCell ref="M3:Q3"/>
    <mergeCell ref="M4:Q4"/>
    <mergeCell ref="M5:Q5"/>
    <mergeCell ref="M6:Q6"/>
    <mergeCell ref="M7:Q7"/>
    <mergeCell ref="M8:Q8"/>
    <mergeCell ref="W3:AA3"/>
    <mergeCell ref="W4:AA4"/>
    <mergeCell ref="W5:AA5"/>
    <mergeCell ref="W6:AA6"/>
    <mergeCell ref="W7:AA7"/>
    <mergeCell ref="M80:O80"/>
    <mergeCell ref="X10:Y10"/>
    <mergeCell ref="W80:Y80"/>
    <mergeCell ref="W77:Y77"/>
    <mergeCell ref="W78:Y78"/>
    <mergeCell ref="W79:Y79"/>
    <mergeCell ref="W76:Y76"/>
    <mergeCell ref="N10:O10"/>
    <mergeCell ref="M76:O76"/>
    <mergeCell ref="M77:O77"/>
    <mergeCell ref="M78:O78"/>
    <mergeCell ref="M79:O79"/>
    <mergeCell ref="C80:E80"/>
    <mergeCell ref="C6:G6"/>
    <mergeCell ref="C7:G7"/>
    <mergeCell ref="C8:G8"/>
    <mergeCell ref="C76:E76"/>
    <mergeCell ref="C77:E77"/>
    <mergeCell ref="C78:E78"/>
    <mergeCell ref="C79:E79"/>
    <mergeCell ref="B1:G1"/>
    <mergeCell ref="C3:G3"/>
    <mergeCell ref="C4:G4"/>
    <mergeCell ref="C5:G5"/>
    <mergeCell ref="D10:E10"/>
  </mergeCells>
  <pageMargins left="0.7" right="0.7" top="0.75" bottom="0.75" header="0.3" footer="0.3"/>
  <pageSetup scale="86" orientation="portrait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1"/>
  </sheetPr>
  <dimension ref="A1:AD39"/>
  <sheetViews>
    <sheetView zoomScaleNormal="100" workbookViewId="0">
      <selection activeCell="F26" sqref="F26"/>
    </sheetView>
  </sheetViews>
  <sheetFormatPr defaultRowHeight="12" x14ac:dyDescent="0.15"/>
  <cols>
    <col min="1" max="1" width="30.375" customWidth="1"/>
    <col min="2" max="2" width="14.75" customWidth="1"/>
    <col min="3" max="3" width="12.625" customWidth="1"/>
    <col min="4" max="4" width="15.375" customWidth="1"/>
    <col min="5" max="5" width="12" customWidth="1"/>
    <col min="8" max="8" width="13.625" bestFit="1" customWidth="1"/>
    <col min="14" max="14" width="19.125" bestFit="1" customWidth="1"/>
    <col min="18" max="18" width="13.375" customWidth="1"/>
    <col min="22" max="22" width="9.375" customWidth="1"/>
    <col min="24" max="24" width="19.125" bestFit="1" customWidth="1"/>
    <col min="28" max="28" width="15" customWidth="1"/>
  </cols>
  <sheetData>
    <row r="1" spans="1:30" ht="33.6" customHeight="1" x14ac:dyDescent="0.25">
      <c r="A1" s="229"/>
      <c r="B1" s="230"/>
      <c r="C1" s="230"/>
      <c r="D1" s="230"/>
      <c r="E1" s="5"/>
      <c r="F1" s="5"/>
      <c r="G1" s="5"/>
      <c r="H1" s="5"/>
      <c r="I1" s="5"/>
    </row>
    <row r="2" spans="1:30" ht="14.25" x14ac:dyDescent="0.2">
      <c r="A2" s="3"/>
      <c r="B2" s="212" t="s">
        <v>305</v>
      </c>
      <c r="C2" s="212"/>
      <c r="D2" s="212"/>
      <c r="E2" s="212"/>
      <c r="F2" s="212"/>
      <c r="G2" s="5"/>
      <c r="H2" s="5"/>
      <c r="I2" s="5"/>
      <c r="L2" s="212" t="s">
        <v>425</v>
      </c>
      <c r="M2" s="213"/>
      <c r="N2" s="213"/>
      <c r="O2" s="213"/>
      <c r="P2" s="213"/>
      <c r="Q2" s="5"/>
      <c r="R2" s="5"/>
      <c r="S2" s="5"/>
      <c r="V2" s="212" t="s">
        <v>426</v>
      </c>
      <c r="W2" s="213"/>
      <c r="X2" s="213"/>
      <c r="Y2" s="213"/>
      <c r="Z2" s="213"/>
      <c r="AA2" s="5"/>
      <c r="AB2" s="5"/>
      <c r="AC2" s="5"/>
    </row>
    <row r="3" spans="1:30" ht="15" x14ac:dyDescent="0.25">
      <c r="A3" s="9"/>
      <c r="B3" s="212" t="s">
        <v>408</v>
      </c>
      <c r="C3" s="212"/>
      <c r="D3" s="212"/>
      <c r="E3" s="212"/>
      <c r="F3" s="212"/>
      <c r="G3" s="5"/>
      <c r="H3" s="5"/>
      <c r="I3" s="5"/>
      <c r="L3" s="212" t="s">
        <v>416</v>
      </c>
      <c r="M3" s="213"/>
      <c r="N3" s="213"/>
      <c r="O3" s="213"/>
      <c r="P3" s="213"/>
      <c r="Q3" s="5"/>
      <c r="R3" s="5"/>
      <c r="S3" s="5"/>
      <c r="V3" s="212" t="s">
        <v>427</v>
      </c>
      <c r="W3" s="213"/>
      <c r="X3" s="213"/>
      <c r="Y3" s="213"/>
      <c r="Z3" s="213"/>
      <c r="AA3" s="5"/>
      <c r="AB3" s="5"/>
      <c r="AC3" s="5"/>
    </row>
    <row r="4" spans="1:30" ht="14.25" x14ac:dyDescent="0.2">
      <c r="A4" s="3"/>
      <c r="B4" s="212" t="s">
        <v>409</v>
      </c>
      <c r="C4" s="212"/>
      <c r="D4" s="212"/>
      <c r="E4" s="212"/>
      <c r="F4" s="212"/>
      <c r="G4" s="5"/>
      <c r="H4" s="5"/>
      <c r="I4" s="5"/>
      <c r="L4" s="212" t="s">
        <v>417</v>
      </c>
      <c r="M4" s="213"/>
      <c r="N4" s="213"/>
      <c r="O4" s="213"/>
      <c r="P4" s="213"/>
      <c r="Q4" s="5"/>
      <c r="R4" s="5"/>
      <c r="S4" s="5"/>
      <c r="V4" s="212" t="s">
        <v>432</v>
      </c>
      <c r="W4" s="213"/>
      <c r="X4" s="213"/>
      <c r="Y4" s="213"/>
      <c r="Z4" s="213"/>
      <c r="AA4" s="5"/>
      <c r="AB4" s="5"/>
      <c r="AC4" s="5"/>
    </row>
    <row r="5" spans="1:30" ht="14.25" x14ac:dyDescent="0.2">
      <c r="A5" s="3" t="s">
        <v>279</v>
      </c>
      <c r="B5" s="212" t="s">
        <v>410</v>
      </c>
      <c r="C5" s="212"/>
      <c r="D5" s="212"/>
      <c r="E5" s="212"/>
      <c r="F5" s="212"/>
      <c r="G5" s="5"/>
      <c r="H5" s="5"/>
      <c r="I5" s="5"/>
      <c r="L5" s="212" t="s">
        <v>418</v>
      </c>
      <c r="M5" s="213"/>
      <c r="N5" s="213"/>
      <c r="O5" s="213"/>
      <c r="P5" s="213"/>
      <c r="Q5" s="5"/>
      <c r="R5" s="5"/>
      <c r="S5" s="5"/>
      <c r="V5" s="212" t="s">
        <v>429</v>
      </c>
      <c r="W5" s="213"/>
      <c r="X5" s="213"/>
      <c r="Y5" s="213"/>
      <c r="Z5" s="213"/>
      <c r="AA5" s="5"/>
      <c r="AB5" s="5"/>
      <c r="AC5" s="5"/>
    </row>
    <row r="6" spans="1:30" ht="14.25" x14ac:dyDescent="0.2">
      <c r="A6" s="6"/>
      <c r="B6" s="219" t="s">
        <v>411</v>
      </c>
      <c r="C6" s="227"/>
      <c r="D6" s="227"/>
      <c r="E6" s="227"/>
      <c r="F6" s="228"/>
      <c r="G6" s="5"/>
      <c r="H6" s="5"/>
      <c r="I6" s="5"/>
      <c r="L6" s="219" t="s">
        <v>419</v>
      </c>
      <c r="M6" s="220"/>
      <c r="N6" s="220"/>
      <c r="O6" s="220"/>
      <c r="P6" s="221"/>
      <c r="Q6" s="5"/>
      <c r="R6" s="5"/>
      <c r="S6" s="5"/>
      <c r="V6" s="219" t="s">
        <v>430</v>
      </c>
      <c r="W6" s="220"/>
      <c r="X6" s="220"/>
      <c r="Y6" s="220"/>
      <c r="Z6" s="221"/>
      <c r="AA6" s="5"/>
      <c r="AB6" s="5"/>
      <c r="AC6" s="5"/>
    </row>
    <row r="7" spans="1:30" ht="18" x14ac:dyDescent="0.25">
      <c r="A7" s="84" t="s">
        <v>3</v>
      </c>
      <c r="B7" s="212" t="s">
        <v>412</v>
      </c>
      <c r="C7" s="212"/>
      <c r="D7" s="212"/>
      <c r="E7" s="212"/>
      <c r="F7" s="212"/>
      <c r="G7" s="5"/>
      <c r="H7" s="5"/>
      <c r="I7" s="5"/>
      <c r="L7" s="212" t="s">
        <v>420</v>
      </c>
      <c r="M7" s="213"/>
      <c r="N7" s="213"/>
      <c r="O7" s="213"/>
      <c r="P7" s="213"/>
      <c r="Q7" s="5"/>
      <c r="R7" s="5"/>
      <c r="S7" s="5"/>
      <c r="V7" s="212" t="s">
        <v>431</v>
      </c>
      <c r="W7" s="213"/>
      <c r="X7" s="213"/>
      <c r="Y7" s="213"/>
      <c r="Z7" s="213"/>
      <c r="AA7" s="5"/>
      <c r="AB7" s="5"/>
      <c r="AC7" s="5"/>
    </row>
    <row r="8" spans="1:30" ht="15" x14ac:dyDescent="0.25">
      <c r="A8" s="13"/>
      <c r="B8" s="13"/>
      <c r="C8" s="13"/>
      <c r="D8" s="13"/>
      <c r="E8" s="5"/>
      <c r="F8" s="5"/>
      <c r="G8" s="5"/>
      <c r="H8" s="5"/>
      <c r="I8" s="5"/>
      <c r="L8" s="13"/>
      <c r="M8" s="13"/>
      <c r="N8" s="13"/>
      <c r="O8" s="5"/>
      <c r="P8" s="5"/>
      <c r="Q8" s="5"/>
      <c r="R8" s="5"/>
      <c r="S8" s="5"/>
      <c r="V8" s="13"/>
      <c r="W8" s="13"/>
      <c r="X8" s="13"/>
      <c r="Y8" s="5"/>
      <c r="Z8" s="5"/>
      <c r="AA8" s="5"/>
      <c r="AB8" s="5"/>
      <c r="AC8" s="5"/>
    </row>
    <row r="9" spans="1:30" ht="16.5" customHeight="1" x14ac:dyDescent="0.2">
      <c r="A9" s="3"/>
      <c r="B9" s="90"/>
      <c r="C9" s="222" t="s">
        <v>293</v>
      </c>
      <c r="D9" s="222"/>
      <c r="E9" s="80"/>
      <c r="F9" s="78" t="s">
        <v>299</v>
      </c>
      <c r="G9" s="81"/>
      <c r="H9" s="82" t="s">
        <v>300</v>
      </c>
      <c r="I9" s="79" t="s">
        <v>302</v>
      </c>
      <c r="J9" s="83" t="s">
        <v>292</v>
      </c>
      <c r="L9" s="90"/>
      <c r="M9" s="222" t="s">
        <v>293</v>
      </c>
      <c r="N9" s="222"/>
      <c r="O9" s="80"/>
      <c r="P9" s="78" t="s">
        <v>299</v>
      </c>
      <c r="Q9" s="81"/>
      <c r="R9" s="82" t="s">
        <v>300</v>
      </c>
      <c r="S9" s="79" t="s">
        <v>302</v>
      </c>
      <c r="T9" s="83" t="s">
        <v>292</v>
      </c>
      <c r="V9" s="90"/>
      <c r="W9" s="222" t="s">
        <v>293</v>
      </c>
      <c r="X9" s="222"/>
      <c r="Y9" s="80"/>
      <c r="Z9" s="78" t="s">
        <v>299</v>
      </c>
      <c r="AA9" s="81"/>
      <c r="AB9" s="82" t="s">
        <v>300</v>
      </c>
      <c r="AC9" s="79" t="s">
        <v>302</v>
      </c>
      <c r="AD9" s="83" t="s">
        <v>292</v>
      </c>
    </row>
    <row r="10" spans="1:30" ht="78.95" customHeight="1" x14ac:dyDescent="0.25">
      <c r="A10" s="4" t="s">
        <v>292</v>
      </c>
      <c r="B10" s="75" t="s">
        <v>294</v>
      </c>
      <c r="C10" s="75" t="s">
        <v>295</v>
      </c>
      <c r="D10" s="75" t="s">
        <v>296</v>
      </c>
      <c r="E10" s="75" t="s">
        <v>297</v>
      </c>
      <c r="F10" s="73" t="s">
        <v>298</v>
      </c>
      <c r="G10" s="73" t="s">
        <v>295</v>
      </c>
      <c r="H10" s="74" t="s">
        <v>301</v>
      </c>
      <c r="I10" s="76" t="s">
        <v>277</v>
      </c>
      <c r="J10" s="76" t="s">
        <v>276</v>
      </c>
      <c r="L10" s="75" t="s">
        <v>294</v>
      </c>
      <c r="M10" s="75" t="s">
        <v>295</v>
      </c>
      <c r="N10" s="75" t="s">
        <v>296</v>
      </c>
      <c r="O10" s="75" t="s">
        <v>297</v>
      </c>
      <c r="P10" s="73" t="s">
        <v>298</v>
      </c>
      <c r="Q10" s="73" t="s">
        <v>295</v>
      </c>
      <c r="R10" s="74" t="s">
        <v>301</v>
      </c>
      <c r="S10" s="76" t="s">
        <v>277</v>
      </c>
      <c r="T10" s="76" t="s">
        <v>276</v>
      </c>
      <c r="V10" s="75" t="s">
        <v>294</v>
      </c>
      <c r="W10" s="75" t="s">
        <v>295</v>
      </c>
      <c r="X10" s="75" t="s">
        <v>296</v>
      </c>
      <c r="Y10" s="75" t="s">
        <v>297</v>
      </c>
      <c r="Z10" s="73" t="s">
        <v>298</v>
      </c>
      <c r="AA10" s="73" t="s">
        <v>295</v>
      </c>
      <c r="AB10" s="74" t="s">
        <v>301</v>
      </c>
      <c r="AC10" s="76" t="s">
        <v>277</v>
      </c>
      <c r="AD10" s="76" t="s">
        <v>276</v>
      </c>
    </row>
    <row r="11" spans="1:30" ht="14.25" x14ac:dyDescent="0.2">
      <c r="A11" s="3"/>
      <c r="B11" s="5"/>
      <c r="C11" s="5"/>
      <c r="D11" s="14"/>
      <c r="E11" s="5"/>
      <c r="F11" s="5"/>
      <c r="G11" s="5"/>
      <c r="H11" s="5"/>
      <c r="I11" s="5"/>
      <c r="L11" s="5"/>
      <c r="M11" s="5"/>
      <c r="N11" s="14"/>
      <c r="O11" s="5"/>
      <c r="P11" s="5"/>
      <c r="Q11" s="5"/>
      <c r="R11" s="5"/>
      <c r="S11" s="5"/>
      <c r="V11" s="5"/>
      <c r="W11" s="5"/>
      <c r="X11" s="14"/>
      <c r="Y11" s="5"/>
      <c r="Z11" s="5"/>
      <c r="AA11" s="5"/>
      <c r="AB11" s="5"/>
      <c r="AC11" s="5"/>
    </row>
    <row r="12" spans="1:30" ht="14.25" x14ac:dyDescent="0.2">
      <c r="A12" s="3" t="s">
        <v>278</v>
      </c>
      <c r="B12" s="115">
        <f>(200*0.96)</f>
        <v>192</v>
      </c>
      <c r="C12" s="115">
        <f>(1200*0.96)</f>
        <v>1152</v>
      </c>
      <c r="D12" s="115" t="s">
        <v>319</v>
      </c>
      <c r="E12" s="115">
        <f>(300*0.96)</f>
        <v>288</v>
      </c>
      <c r="F12" s="115">
        <f>(240*0.96)</f>
        <v>230.39999999999998</v>
      </c>
      <c r="G12" s="115">
        <f>(6595*0.96)</f>
        <v>6331.2</v>
      </c>
      <c r="H12" s="115" t="s">
        <v>319</v>
      </c>
      <c r="I12" s="115">
        <v>23</v>
      </c>
      <c r="J12" s="115">
        <v>150</v>
      </c>
      <c r="L12" s="109">
        <v>200</v>
      </c>
      <c r="M12" s="109">
        <v>1200</v>
      </c>
      <c r="N12" s="109">
        <v>100</v>
      </c>
      <c r="O12" s="109">
        <v>325</v>
      </c>
      <c r="P12" s="109">
        <v>240</v>
      </c>
      <c r="Q12" s="109">
        <v>6595</v>
      </c>
      <c r="R12" s="115" t="s">
        <v>319</v>
      </c>
      <c r="S12" s="109">
        <v>18</v>
      </c>
      <c r="T12" s="109">
        <v>70</v>
      </c>
      <c r="V12" s="15">
        <v>1800</v>
      </c>
      <c r="W12" s="111">
        <v>600</v>
      </c>
      <c r="X12" s="115" t="s">
        <v>319</v>
      </c>
      <c r="Y12" s="111">
        <v>1200</v>
      </c>
      <c r="Z12" s="15">
        <v>300</v>
      </c>
      <c r="AA12" s="111">
        <v>8640</v>
      </c>
      <c r="AB12" s="115" t="s">
        <v>319</v>
      </c>
      <c r="AC12" s="15">
        <v>31.25</v>
      </c>
      <c r="AD12" s="111">
        <v>500</v>
      </c>
    </row>
    <row r="13" spans="1:30" ht="14.25" x14ac:dyDescent="0.2">
      <c r="A13" s="3" t="s">
        <v>16</v>
      </c>
      <c r="B13" s="115" t="s">
        <v>319</v>
      </c>
      <c r="C13" s="115" t="s">
        <v>319</v>
      </c>
      <c r="D13" s="115" t="s">
        <v>319</v>
      </c>
      <c r="E13" s="115" t="s">
        <v>319</v>
      </c>
      <c r="F13" s="115">
        <f>(75*0.96)</f>
        <v>72</v>
      </c>
      <c r="G13" s="115">
        <f>(450*0.96)</f>
        <v>432</v>
      </c>
      <c r="H13" s="115" t="s">
        <v>319</v>
      </c>
      <c r="I13" s="138"/>
      <c r="J13" s="135"/>
      <c r="L13" s="109">
        <v>150</v>
      </c>
      <c r="M13" s="109">
        <v>200</v>
      </c>
      <c r="N13" s="115" t="s">
        <v>319</v>
      </c>
      <c r="O13" s="109">
        <v>325</v>
      </c>
      <c r="P13" s="109">
        <v>75</v>
      </c>
      <c r="Q13" s="109">
        <v>450</v>
      </c>
      <c r="R13" s="115" t="s">
        <v>319</v>
      </c>
      <c r="S13" s="110"/>
      <c r="T13" s="97"/>
      <c r="V13" s="15">
        <v>600</v>
      </c>
      <c r="W13" s="111">
        <v>200</v>
      </c>
      <c r="X13" s="115" t="s">
        <v>319</v>
      </c>
      <c r="Y13" s="111">
        <v>400</v>
      </c>
      <c r="Z13" s="15">
        <v>100</v>
      </c>
      <c r="AA13" s="111">
        <v>2880</v>
      </c>
      <c r="AB13" s="115" t="s">
        <v>319</v>
      </c>
      <c r="AC13" s="5"/>
    </row>
    <row r="14" spans="1:30" ht="14.25" x14ac:dyDescent="0.2">
      <c r="A14" s="3" t="s">
        <v>15</v>
      </c>
      <c r="B14" s="115" t="s">
        <v>319</v>
      </c>
      <c r="C14" s="115" t="s">
        <v>319</v>
      </c>
      <c r="D14" s="115" t="s">
        <v>319</v>
      </c>
      <c r="E14" s="115" t="s">
        <v>319</v>
      </c>
      <c r="F14" s="115">
        <f t="shared" ref="F14:F15" si="0">(75*0.96)</f>
        <v>72</v>
      </c>
      <c r="G14" s="115">
        <f>(600*0.96)</f>
        <v>576</v>
      </c>
      <c r="H14" s="115" t="s">
        <v>319</v>
      </c>
      <c r="I14" s="138"/>
      <c r="J14" s="135"/>
      <c r="L14" s="109">
        <v>150</v>
      </c>
      <c r="M14" s="109">
        <v>150</v>
      </c>
      <c r="N14" s="115" t="s">
        <v>319</v>
      </c>
      <c r="O14" s="109">
        <v>325</v>
      </c>
      <c r="P14" s="109">
        <v>75</v>
      </c>
      <c r="Q14" s="109">
        <v>600</v>
      </c>
      <c r="R14" s="115" t="s">
        <v>319</v>
      </c>
      <c r="S14" s="110"/>
      <c r="T14" s="97"/>
      <c r="V14" s="15">
        <v>600</v>
      </c>
      <c r="W14" s="111">
        <v>200</v>
      </c>
      <c r="X14" s="115" t="s">
        <v>319</v>
      </c>
      <c r="Y14" s="111">
        <v>400</v>
      </c>
      <c r="Z14" s="15">
        <v>100</v>
      </c>
      <c r="AA14" s="111">
        <v>2880</v>
      </c>
      <c r="AB14" s="115" t="s">
        <v>319</v>
      </c>
      <c r="AC14" s="5"/>
    </row>
    <row r="15" spans="1:30" ht="14.25" x14ac:dyDescent="0.2">
      <c r="A15" s="3" t="s">
        <v>14</v>
      </c>
      <c r="B15" s="115">
        <f>(200*0.96)</f>
        <v>192</v>
      </c>
      <c r="C15" s="184">
        <f>(210*0.96)</f>
        <v>201.6</v>
      </c>
      <c r="D15" s="115" t="s">
        <v>319</v>
      </c>
      <c r="E15" s="115">
        <f>(300*0.96)</f>
        <v>288</v>
      </c>
      <c r="F15" s="115">
        <f t="shared" si="0"/>
        <v>72</v>
      </c>
      <c r="G15" s="115">
        <f>(200*0.96)</f>
        <v>192</v>
      </c>
      <c r="H15" s="115" t="s">
        <v>319</v>
      </c>
      <c r="I15" s="138"/>
      <c r="J15" s="135"/>
      <c r="L15" s="109">
        <v>200</v>
      </c>
      <c r="M15" s="109">
        <v>210</v>
      </c>
      <c r="N15" s="109">
        <v>100</v>
      </c>
      <c r="O15" s="109">
        <v>325</v>
      </c>
      <c r="P15" s="109">
        <v>75</v>
      </c>
      <c r="Q15" s="109">
        <v>200</v>
      </c>
      <c r="R15" s="115" t="s">
        <v>319</v>
      </c>
      <c r="S15" s="110"/>
      <c r="T15" s="97"/>
      <c r="V15" s="15">
        <v>600</v>
      </c>
      <c r="W15" s="111">
        <v>200</v>
      </c>
      <c r="X15" s="115" t="s">
        <v>319</v>
      </c>
      <c r="Y15" s="111">
        <v>400</v>
      </c>
      <c r="Z15" s="15">
        <v>100</v>
      </c>
      <c r="AA15" s="111">
        <v>2880</v>
      </c>
      <c r="AB15" s="115" t="s">
        <v>319</v>
      </c>
      <c r="AC15" s="5"/>
    </row>
    <row r="16" spans="1:30" ht="14.25" x14ac:dyDescent="0.2">
      <c r="A16" s="3"/>
      <c r="B16" s="138"/>
      <c r="C16" s="138"/>
      <c r="D16" s="138"/>
      <c r="E16" s="138"/>
      <c r="F16" s="138"/>
      <c r="G16" s="138"/>
      <c r="H16" s="138"/>
      <c r="I16" s="138"/>
      <c r="J16" s="135"/>
      <c r="L16" s="110"/>
      <c r="M16" s="110"/>
      <c r="N16" s="110"/>
      <c r="O16" s="110"/>
      <c r="P16" s="110"/>
      <c r="Q16" s="110"/>
      <c r="R16" s="110"/>
      <c r="S16" s="110"/>
      <c r="T16" s="97"/>
      <c r="V16" s="5"/>
      <c r="W16" s="5"/>
      <c r="X16" s="5"/>
      <c r="Y16" s="5"/>
      <c r="Z16" s="5"/>
      <c r="AA16" s="5"/>
      <c r="AB16" s="5"/>
      <c r="AC16" s="5"/>
    </row>
    <row r="17" spans="1:30" ht="14.25" x14ac:dyDescent="0.2">
      <c r="A17" s="3"/>
      <c r="B17" s="138"/>
      <c r="C17" s="138"/>
      <c r="D17" s="138"/>
      <c r="E17" s="138"/>
      <c r="F17" s="138"/>
      <c r="G17" s="138"/>
      <c r="H17" s="138"/>
      <c r="I17" s="138"/>
      <c r="J17" s="135"/>
      <c r="L17" s="110"/>
      <c r="M17" s="110"/>
      <c r="N17" s="110"/>
      <c r="O17" s="110"/>
      <c r="P17" s="110"/>
      <c r="Q17" s="110"/>
      <c r="R17" s="110"/>
      <c r="S17" s="110"/>
      <c r="T17" s="97"/>
      <c r="V17" s="5"/>
      <c r="W17" s="5"/>
      <c r="X17" s="5"/>
      <c r="Y17" s="5"/>
      <c r="Z17" s="5"/>
      <c r="AA17" s="5"/>
      <c r="AB17" s="5"/>
      <c r="AC17" s="5"/>
    </row>
    <row r="18" spans="1:30" ht="14.25" x14ac:dyDescent="0.2">
      <c r="A18" s="3" t="s">
        <v>273</v>
      </c>
      <c r="B18" s="115">
        <f>(200*0.96)</f>
        <v>192</v>
      </c>
      <c r="C18" s="115">
        <f>(500*0.96)</f>
        <v>480</v>
      </c>
      <c r="D18" s="115" t="s">
        <v>319</v>
      </c>
      <c r="E18" s="115">
        <f>(300*0.96)</f>
        <v>288</v>
      </c>
      <c r="F18" s="115">
        <f>(90*0.96)</f>
        <v>86.399999999999991</v>
      </c>
      <c r="G18" s="115">
        <f>(400*0.96)</f>
        <v>384</v>
      </c>
      <c r="H18" s="115" t="s">
        <v>319</v>
      </c>
      <c r="I18" s="115">
        <v>23</v>
      </c>
      <c r="J18" s="115">
        <v>150</v>
      </c>
      <c r="L18" s="115" t="s">
        <v>319</v>
      </c>
      <c r="M18" s="115" t="s">
        <v>319</v>
      </c>
      <c r="N18" s="115" t="s">
        <v>319</v>
      </c>
      <c r="O18" s="115" t="s">
        <v>319</v>
      </c>
      <c r="P18" s="115" t="s">
        <v>319</v>
      </c>
      <c r="Q18" s="115" t="s">
        <v>319</v>
      </c>
      <c r="R18" s="115" t="s">
        <v>319</v>
      </c>
      <c r="S18" s="115" t="s">
        <v>319</v>
      </c>
      <c r="T18" s="115" t="s">
        <v>319</v>
      </c>
      <c r="V18" s="115" t="s">
        <v>319</v>
      </c>
      <c r="W18" s="115" t="s">
        <v>319</v>
      </c>
      <c r="X18" s="115" t="s">
        <v>319</v>
      </c>
      <c r="Y18" s="123" t="s">
        <v>319</v>
      </c>
      <c r="Z18" s="123" t="s">
        <v>319</v>
      </c>
      <c r="AA18" s="123" t="s">
        <v>319</v>
      </c>
      <c r="AB18" s="123" t="s">
        <v>319</v>
      </c>
      <c r="AC18" s="123" t="s">
        <v>319</v>
      </c>
      <c r="AD18" s="123" t="s">
        <v>319</v>
      </c>
    </row>
    <row r="19" spans="1:30" ht="13.5" customHeight="1" x14ac:dyDescent="0.2">
      <c r="A19" s="3"/>
      <c r="B19" s="142"/>
      <c r="C19" s="142"/>
      <c r="D19" s="142"/>
      <c r="E19" s="142"/>
      <c r="F19" s="142"/>
      <c r="G19" s="142"/>
      <c r="H19" s="142"/>
      <c r="I19" s="142"/>
      <c r="J19" s="116"/>
      <c r="L19" s="110"/>
      <c r="M19" s="110"/>
      <c r="N19" s="110"/>
      <c r="O19" s="110"/>
      <c r="P19" s="110"/>
      <c r="Q19" s="110"/>
      <c r="R19" s="110"/>
      <c r="S19" s="110"/>
      <c r="T19" s="97"/>
      <c r="V19" s="5"/>
      <c r="W19" s="5"/>
      <c r="X19" s="5"/>
      <c r="Y19" s="5"/>
      <c r="Z19" s="5"/>
      <c r="AA19" s="5"/>
      <c r="AB19" s="5"/>
      <c r="AC19" s="5"/>
    </row>
    <row r="20" spans="1:30" ht="24" customHeight="1" x14ac:dyDescent="0.25">
      <c r="A20" s="8" t="s">
        <v>2</v>
      </c>
      <c r="B20" s="126">
        <f>(600*0.96)</f>
        <v>576</v>
      </c>
      <c r="C20" s="126">
        <v>1833.6</v>
      </c>
      <c r="D20" s="115" t="s">
        <v>319</v>
      </c>
      <c r="E20" s="126">
        <f>(900*0.96)</f>
        <v>864</v>
      </c>
      <c r="F20" s="126">
        <f>(555*0.96)</f>
        <v>532.79999999999995</v>
      </c>
      <c r="G20" s="126">
        <f>(8245*0.96)</f>
        <v>7915.2</v>
      </c>
      <c r="H20" s="115" t="s">
        <v>319</v>
      </c>
      <c r="I20" s="126">
        <v>46</v>
      </c>
      <c r="J20" s="126">
        <v>300</v>
      </c>
      <c r="L20" s="95">
        <v>700</v>
      </c>
      <c r="M20" s="95">
        <v>1760</v>
      </c>
      <c r="N20" s="95">
        <v>200</v>
      </c>
      <c r="O20" s="95">
        <v>1300</v>
      </c>
      <c r="P20" s="95">
        <v>465</v>
      </c>
      <c r="Q20" s="95">
        <v>7845</v>
      </c>
      <c r="R20" s="115" t="s">
        <v>319</v>
      </c>
      <c r="S20" s="95">
        <v>18</v>
      </c>
      <c r="T20" s="95">
        <v>70</v>
      </c>
      <c r="V20" s="95">
        <v>1800</v>
      </c>
      <c r="W20" s="95">
        <v>600</v>
      </c>
      <c r="X20" s="95">
        <v>0</v>
      </c>
      <c r="Y20" s="95">
        <v>1200</v>
      </c>
      <c r="Z20" s="95">
        <v>300</v>
      </c>
      <c r="AA20" s="95">
        <v>8640</v>
      </c>
      <c r="AB20" s="95"/>
      <c r="AC20" s="95">
        <v>31.25</v>
      </c>
      <c r="AD20" s="95">
        <v>500</v>
      </c>
    </row>
    <row r="21" spans="1:30" ht="14.25" x14ac:dyDescent="0.2">
      <c r="A21" s="3"/>
      <c r="L21" s="97"/>
      <c r="M21" s="97"/>
      <c r="N21" s="97"/>
      <c r="O21" s="97"/>
      <c r="P21" s="97"/>
      <c r="Q21" s="97"/>
      <c r="R21" s="97"/>
      <c r="S21" s="97"/>
      <c r="T21" s="97"/>
    </row>
    <row r="22" spans="1:30" ht="14.25" x14ac:dyDescent="0.2">
      <c r="A22" s="3"/>
      <c r="L22" s="97"/>
      <c r="M22" s="97"/>
      <c r="N22" s="97"/>
      <c r="O22" s="97"/>
      <c r="P22" s="97"/>
      <c r="Q22" s="97"/>
      <c r="R22" s="97"/>
      <c r="S22" s="97"/>
      <c r="T22" s="97"/>
    </row>
    <row r="23" spans="1:30" ht="15" x14ac:dyDescent="0.25">
      <c r="A23" s="3" t="s">
        <v>4</v>
      </c>
      <c r="B23" s="4" t="s">
        <v>5</v>
      </c>
      <c r="C23" s="4" t="s">
        <v>6</v>
      </c>
      <c r="D23" s="10" t="s">
        <v>7</v>
      </c>
      <c r="L23" s="107" t="s">
        <v>5</v>
      </c>
      <c r="M23" s="107" t="s">
        <v>6</v>
      </c>
      <c r="N23" s="108" t="s">
        <v>7</v>
      </c>
      <c r="O23" s="97"/>
      <c r="P23" s="97"/>
      <c r="Q23" s="97"/>
      <c r="R23" s="97"/>
      <c r="S23" s="97"/>
      <c r="T23" s="97"/>
      <c r="V23" s="4" t="s">
        <v>5</v>
      </c>
      <c r="W23" s="4" t="s">
        <v>6</v>
      </c>
      <c r="X23" s="10" t="s">
        <v>7</v>
      </c>
    </row>
    <row r="24" spans="1:30" ht="14.25" x14ac:dyDescent="0.2">
      <c r="A24" s="3"/>
      <c r="B24" s="95">
        <v>185</v>
      </c>
      <c r="C24" s="95">
        <v>185</v>
      </c>
      <c r="D24" s="95">
        <v>150</v>
      </c>
      <c r="L24" s="7">
        <v>176.44</v>
      </c>
      <c r="M24" s="7">
        <v>176.44</v>
      </c>
      <c r="N24" s="7">
        <v>143.16</v>
      </c>
      <c r="V24" s="120">
        <v>180</v>
      </c>
      <c r="W24" s="120">
        <v>240</v>
      </c>
      <c r="X24" s="120">
        <v>180</v>
      </c>
    </row>
    <row r="25" spans="1:30" ht="14.25" x14ac:dyDescent="0.2">
      <c r="A25" s="3"/>
    </row>
    <row r="26" spans="1:30" ht="14.25" x14ac:dyDescent="0.2">
      <c r="A26" s="3" t="s">
        <v>10</v>
      </c>
      <c r="B26" s="216" t="s">
        <v>310</v>
      </c>
      <c r="C26" s="217"/>
      <c r="D26" s="218"/>
      <c r="L26" s="216"/>
      <c r="M26" s="217"/>
      <c r="N26" s="218"/>
      <c r="V26" s="223" t="s">
        <v>327</v>
      </c>
      <c r="W26" s="224"/>
      <c r="X26" s="225"/>
    </row>
    <row r="27" spans="1:30" ht="14.25" x14ac:dyDescent="0.2">
      <c r="A27" s="3"/>
      <c r="B27" s="216" t="s">
        <v>311</v>
      </c>
      <c r="C27" s="217"/>
      <c r="D27" s="218"/>
      <c r="L27" s="216"/>
      <c r="M27" s="217"/>
      <c r="N27" s="218"/>
      <c r="V27" s="223" t="s">
        <v>328</v>
      </c>
      <c r="W27" s="224"/>
      <c r="X27" s="225"/>
    </row>
    <row r="28" spans="1:30" ht="14.25" x14ac:dyDescent="0.2">
      <c r="A28" s="3"/>
      <c r="B28" s="216" t="s">
        <v>316</v>
      </c>
      <c r="C28" s="217"/>
      <c r="D28" s="218"/>
      <c r="L28" s="216"/>
      <c r="M28" s="217"/>
      <c r="N28" s="218"/>
      <c r="V28" s="223" t="s">
        <v>329</v>
      </c>
      <c r="W28" s="224"/>
      <c r="X28" s="225"/>
    </row>
    <row r="29" spans="1:30" ht="14.25" x14ac:dyDescent="0.2">
      <c r="A29" s="3"/>
      <c r="B29" s="216" t="s">
        <v>313</v>
      </c>
      <c r="C29" s="217"/>
      <c r="D29" s="218"/>
      <c r="L29" s="216"/>
      <c r="M29" s="217"/>
      <c r="N29" s="218"/>
      <c r="V29" s="223" t="s">
        <v>330</v>
      </c>
      <c r="W29" s="224"/>
      <c r="X29" s="225"/>
    </row>
    <row r="30" spans="1:30" ht="14.25" x14ac:dyDescent="0.2">
      <c r="A30" s="3"/>
      <c r="B30" s="216" t="s">
        <v>312</v>
      </c>
      <c r="C30" s="217"/>
      <c r="D30" s="218"/>
      <c r="L30" s="216"/>
      <c r="M30" s="217"/>
      <c r="N30" s="218"/>
      <c r="V30" s="216"/>
      <c r="W30" s="217"/>
      <c r="X30" s="218"/>
    </row>
    <row r="31" spans="1:30" ht="14.25" x14ac:dyDescent="0.2">
      <c r="A31" s="3"/>
    </row>
    <row r="32" spans="1:30" ht="14.25" x14ac:dyDescent="0.2">
      <c r="A32" s="3"/>
    </row>
    <row r="33" spans="1:4" ht="14.25" x14ac:dyDescent="0.2">
      <c r="A33" s="3"/>
    </row>
    <row r="34" spans="1:4" x14ac:dyDescent="0.15">
      <c r="A34" s="155"/>
      <c r="B34" s="156"/>
      <c r="C34" s="156"/>
      <c r="D34" s="156"/>
    </row>
    <row r="35" spans="1:4" x14ac:dyDescent="0.15">
      <c r="A35" s="155"/>
      <c r="B35" s="156"/>
      <c r="C35" s="156"/>
      <c r="D35" s="156"/>
    </row>
    <row r="36" spans="1:4" x14ac:dyDescent="0.15">
      <c r="A36" s="155"/>
      <c r="B36" s="156"/>
      <c r="C36" s="156"/>
      <c r="D36" s="156"/>
    </row>
    <row r="37" spans="1:4" x14ac:dyDescent="0.15">
      <c r="A37" s="155"/>
      <c r="B37" s="156"/>
      <c r="C37" s="156"/>
      <c r="D37" s="156"/>
    </row>
    <row r="38" spans="1:4" ht="14.25" x14ac:dyDescent="0.2">
      <c r="A38" s="3"/>
    </row>
    <row r="39" spans="1:4" ht="14.25" x14ac:dyDescent="0.2">
      <c r="A39" s="3"/>
    </row>
  </sheetData>
  <mergeCells count="37">
    <mergeCell ref="V30:X30"/>
    <mergeCell ref="V26:X26"/>
    <mergeCell ref="V27:X27"/>
    <mergeCell ref="V28:X28"/>
    <mergeCell ref="V29:X29"/>
    <mergeCell ref="W9:X9"/>
    <mergeCell ref="V7:Z7"/>
    <mergeCell ref="V2:Z2"/>
    <mergeCell ref="V3:Z3"/>
    <mergeCell ref="V4:Z4"/>
    <mergeCell ref="V5:Z5"/>
    <mergeCell ref="V6:Z6"/>
    <mergeCell ref="L29:N29"/>
    <mergeCell ref="L30:N30"/>
    <mergeCell ref="L2:P2"/>
    <mergeCell ref="L3:P3"/>
    <mergeCell ref="L4:P4"/>
    <mergeCell ref="L5:P5"/>
    <mergeCell ref="L6:P6"/>
    <mergeCell ref="L7:P7"/>
    <mergeCell ref="M9:N9"/>
    <mergeCell ref="L26:N26"/>
    <mergeCell ref="L27:N27"/>
    <mergeCell ref="L28:N28"/>
    <mergeCell ref="B6:F6"/>
    <mergeCell ref="B30:D30"/>
    <mergeCell ref="B26:D26"/>
    <mergeCell ref="B27:D27"/>
    <mergeCell ref="B28:D28"/>
    <mergeCell ref="B29:D29"/>
    <mergeCell ref="C9:D9"/>
    <mergeCell ref="B7:F7"/>
    <mergeCell ref="A1:D1"/>
    <mergeCell ref="B2:F2"/>
    <mergeCell ref="B3:F3"/>
    <mergeCell ref="B4:F4"/>
    <mergeCell ref="B5:F5"/>
  </mergeCells>
  <pageMargins left="0.75" right="0.75" top="1" bottom="1" header="0.5" footer="0.5"/>
  <pageSetup orientation="portrait" r:id="rId1"/>
  <headerFooter alignWithMargins="0">
    <oddHeader>&amp;LAppendix A - GSS-MU-07-259-RP  Pricing Grid Hospitals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22"/>
  </sheetPr>
  <dimension ref="A1:AD60"/>
  <sheetViews>
    <sheetView topLeftCell="A4" zoomScaleNormal="100" workbookViewId="0">
      <pane xSplit="1" ySplit="7" topLeftCell="B14" activePane="bottomRight" state="frozen"/>
      <selection activeCell="A4" sqref="A4"/>
      <selection pane="topRight" activeCell="B4" sqref="B4"/>
      <selection pane="bottomLeft" activeCell="A8" sqref="A8"/>
      <selection pane="bottomRight" activeCell="B17" sqref="B17"/>
    </sheetView>
  </sheetViews>
  <sheetFormatPr defaultRowHeight="12" x14ac:dyDescent="0.15"/>
  <cols>
    <col min="1" max="1" width="30.75" customWidth="1"/>
    <col min="2" max="2" width="18.25" customWidth="1"/>
    <col min="3" max="3" width="19.75" customWidth="1"/>
    <col min="4" max="4" width="15.75" customWidth="1"/>
    <col min="5" max="5" width="12.625" customWidth="1"/>
    <col min="8" max="8" width="14.625" customWidth="1"/>
    <col min="12" max="12" width="9.375" customWidth="1"/>
    <col min="14" max="14" width="24.375" customWidth="1"/>
    <col min="18" max="18" width="15.375" customWidth="1"/>
    <col min="22" max="22" width="10.125" customWidth="1"/>
    <col min="24" max="24" width="26.375" customWidth="1"/>
    <col min="28" max="28" width="14.125" customWidth="1"/>
  </cols>
  <sheetData>
    <row r="1" spans="1:30" ht="36" customHeight="1" x14ac:dyDescent="0.25">
      <c r="A1" s="229"/>
      <c r="B1" s="230"/>
      <c r="C1" s="230"/>
      <c r="D1" s="5"/>
      <c r="E1" s="5"/>
      <c r="F1" s="5"/>
      <c r="G1" s="5"/>
      <c r="H1" s="5"/>
    </row>
    <row r="2" spans="1:30" ht="14.25" x14ac:dyDescent="0.2">
      <c r="A2" s="3"/>
      <c r="B2" s="231" t="s">
        <v>307</v>
      </c>
      <c r="C2" s="231"/>
      <c r="D2" s="232"/>
      <c r="E2" s="5"/>
      <c r="F2" s="5"/>
      <c r="G2" s="5"/>
      <c r="H2" s="5"/>
      <c r="L2" s="231" t="s">
        <v>304</v>
      </c>
      <c r="M2" s="231"/>
      <c r="N2" s="232"/>
      <c r="V2" s="231" t="s">
        <v>306</v>
      </c>
      <c r="W2" s="231"/>
      <c r="X2" s="232"/>
    </row>
    <row r="3" spans="1:30" ht="15" x14ac:dyDescent="0.25">
      <c r="A3" s="9"/>
      <c r="B3" s="231" t="s">
        <v>0</v>
      </c>
      <c r="C3" s="231"/>
      <c r="D3" s="232"/>
      <c r="E3" s="5"/>
      <c r="F3" s="5"/>
      <c r="G3" s="5"/>
      <c r="H3" s="5"/>
      <c r="L3" s="231" t="s">
        <v>0</v>
      </c>
      <c r="M3" s="231"/>
      <c r="N3" s="232"/>
      <c r="V3" s="231" t="s">
        <v>0</v>
      </c>
      <c r="W3" s="231"/>
      <c r="X3" s="232"/>
    </row>
    <row r="4" spans="1:30" ht="15" x14ac:dyDescent="0.25">
      <c r="A4" s="9"/>
      <c r="B4" s="162"/>
      <c r="C4" s="162"/>
      <c r="D4" s="154"/>
      <c r="E4" s="5"/>
      <c r="F4" s="5"/>
      <c r="G4" s="5"/>
      <c r="H4" s="5"/>
      <c r="L4" s="162"/>
      <c r="M4" s="162"/>
      <c r="N4" s="154"/>
      <c r="V4" s="162"/>
      <c r="W4" s="162"/>
      <c r="X4" s="154"/>
    </row>
    <row r="5" spans="1:30" ht="14.25" x14ac:dyDescent="0.2">
      <c r="A5" s="3"/>
      <c r="B5" s="212" t="s">
        <v>305</v>
      </c>
      <c r="C5" s="212"/>
      <c r="D5" s="212"/>
      <c r="E5" s="212"/>
      <c r="F5" s="212"/>
      <c r="G5" s="5"/>
      <c r="H5" s="5"/>
      <c r="L5" s="212" t="s">
        <v>425</v>
      </c>
      <c r="M5" s="213"/>
      <c r="N5" s="213"/>
      <c r="O5" s="213"/>
      <c r="P5" s="213"/>
      <c r="V5" s="212" t="s">
        <v>426</v>
      </c>
      <c r="W5" s="213"/>
      <c r="X5" s="213"/>
      <c r="Y5" s="213"/>
      <c r="Z5" s="213"/>
    </row>
    <row r="6" spans="1:30" ht="14.25" x14ac:dyDescent="0.2">
      <c r="A6" s="3"/>
      <c r="B6" s="212" t="s">
        <v>408</v>
      </c>
      <c r="C6" s="212"/>
      <c r="D6" s="212"/>
      <c r="E6" s="212"/>
      <c r="F6" s="212"/>
      <c r="G6" s="5"/>
      <c r="H6" s="5"/>
      <c r="L6" s="212" t="s">
        <v>416</v>
      </c>
      <c r="M6" s="213"/>
      <c r="N6" s="213"/>
      <c r="O6" s="213"/>
      <c r="P6" s="213"/>
      <c r="V6" s="212" t="s">
        <v>427</v>
      </c>
      <c r="W6" s="213"/>
      <c r="X6" s="213"/>
      <c r="Y6" s="213"/>
      <c r="Z6" s="213"/>
    </row>
    <row r="7" spans="1:30" ht="14.25" x14ac:dyDescent="0.2">
      <c r="A7" s="6"/>
      <c r="B7" s="212" t="s">
        <v>409</v>
      </c>
      <c r="C7" s="212"/>
      <c r="D7" s="212"/>
      <c r="E7" s="212"/>
      <c r="F7" s="212"/>
      <c r="G7" s="5"/>
      <c r="H7" s="5"/>
      <c r="L7" s="212" t="s">
        <v>417</v>
      </c>
      <c r="M7" s="213"/>
      <c r="N7" s="213"/>
      <c r="O7" s="213"/>
      <c r="P7" s="213"/>
      <c r="V7" s="212" t="s">
        <v>432</v>
      </c>
      <c r="W7" s="213"/>
      <c r="X7" s="213"/>
      <c r="Y7" s="213"/>
      <c r="Z7" s="213"/>
    </row>
    <row r="8" spans="1:30" ht="14.25" x14ac:dyDescent="0.2">
      <c r="A8" s="6"/>
      <c r="B8" s="212" t="s">
        <v>410</v>
      </c>
      <c r="C8" s="212"/>
      <c r="D8" s="212"/>
      <c r="E8" s="212"/>
      <c r="F8" s="212"/>
      <c r="G8" s="5"/>
      <c r="H8" s="5"/>
      <c r="L8" s="212" t="s">
        <v>418</v>
      </c>
      <c r="M8" s="213"/>
      <c r="N8" s="213"/>
      <c r="O8" s="213"/>
      <c r="P8" s="213"/>
      <c r="V8" s="212" t="s">
        <v>429</v>
      </c>
      <c r="W8" s="213"/>
      <c r="X8" s="213"/>
      <c r="Y8" s="213"/>
      <c r="Z8" s="213"/>
    </row>
    <row r="9" spans="1:30" ht="14.25" x14ac:dyDescent="0.2">
      <c r="A9" s="6"/>
      <c r="B9" s="219" t="s">
        <v>411</v>
      </c>
      <c r="C9" s="227"/>
      <c r="D9" s="227"/>
      <c r="E9" s="227"/>
      <c r="F9" s="228"/>
      <c r="G9" s="5"/>
      <c r="H9" s="5"/>
      <c r="L9" s="219" t="s">
        <v>419</v>
      </c>
      <c r="M9" s="220"/>
      <c r="N9" s="220"/>
      <c r="O9" s="220"/>
      <c r="P9" s="221"/>
      <c r="V9" s="219" t="s">
        <v>430</v>
      </c>
      <c r="W9" s="220"/>
      <c r="X9" s="220"/>
      <c r="Y9" s="220"/>
      <c r="Z9" s="221"/>
    </row>
    <row r="10" spans="1:30" ht="14.25" x14ac:dyDescent="0.2">
      <c r="A10" s="3"/>
      <c r="B10" s="212" t="s">
        <v>412</v>
      </c>
      <c r="C10" s="212"/>
      <c r="D10" s="212"/>
      <c r="E10" s="212"/>
      <c r="F10" s="212"/>
      <c r="G10" s="5"/>
      <c r="H10" s="5"/>
      <c r="L10" s="212" t="s">
        <v>420</v>
      </c>
      <c r="M10" s="213"/>
      <c r="N10" s="213"/>
      <c r="O10" s="213"/>
      <c r="P10" s="213"/>
      <c r="V10" s="212" t="s">
        <v>431</v>
      </c>
      <c r="W10" s="213"/>
      <c r="X10" s="213"/>
      <c r="Y10" s="213"/>
      <c r="Z10" s="213"/>
    </row>
    <row r="11" spans="1:30" ht="14.25" x14ac:dyDescent="0.2">
      <c r="A11" s="3"/>
      <c r="B11" s="3"/>
      <c r="C11" s="3"/>
      <c r="D11" s="5"/>
      <c r="E11" s="5"/>
      <c r="F11" s="5"/>
      <c r="G11" s="5"/>
      <c r="H11" s="5"/>
    </row>
    <row r="12" spans="1:30" ht="15" x14ac:dyDescent="0.25">
      <c r="A12" s="13"/>
      <c r="B12" s="13"/>
      <c r="C12" s="3"/>
      <c r="D12" s="5"/>
      <c r="E12" s="5"/>
      <c r="F12" s="5"/>
      <c r="G12" s="5"/>
      <c r="H12" s="5"/>
    </row>
    <row r="13" spans="1:30" ht="14.25" x14ac:dyDescent="0.2">
      <c r="A13" s="3"/>
      <c r="B13" s="90"/>
      <c r="C13" s="222" t="s">
        <v>293</v>
      </c>
      <c r="D13" s="222"/>
      <c r="E13" s="80"/>
      <c r="F13" s="78" t="s">
        <v>299</v>
      </c>
      <c r="G13" s="81"/>
      <c r="H13" s="82" t="s">
        <v>300</v>
      </c>
      <c r="I13" s="79" t="s">
        <v>302</v>
      </c>
      <c r="J13" s="83" t="s">
        <v>292</v>
      </c>
      <c r="L13" s="90"/>
      <c r="M13" s="222" t="s">
        <v>293</v>
      </c>
      <c r="N13" s="222"/>
      <c r="O13" s="80"/>
      <c r="P13" s="78" t="s">
        <v>299</v>
      </c>
      <c r="Q13" s="81"/>
      <c r="R13" s="82" t="s">
        <v>300</v>
      </c>
      <c r="S13" s="79" t="s">
        <v>302</v>
      </c>
      <c r="T13" s="83" t="s">
        <v>292</v>
      </c>
      <c r="V13" s="90"/>
      <c r="W13" s="222" t="s">
        <v>293</v>
      </c>
      <c r="X13" s="222"/>
      <c r="Y13" s="80"/>
      <c r="Z13" s="78" t="s">
        <v>299</v>
      </c>
      <c r="AA13" s="81"/>
      <c r="AB13" s="82" t="s">
        <v>300</v>
      </c>
      <c r="AC13" s="79" t="s">
        <v>302</v>
      </c>
      <c r="AD13" s="83" t="s">
        <v>292</v>
      </c>
    </row>
    <row r="14" spans="1:30" ht="78.95" customHeight="1" x14ac:dyDescent="0.15">
      <c r="A14" s="89" t="s">
        <v>8</v>
      </c>
      <c r="B14" s="75" t="s">
        <v>294</v>
      </c>
      <c r="C14" s="75" t="s">
        <v>295</v>
      </c>
      <c r="D14" s="75" t="s">
        <v>296</v>
      </c>
      <c r="E14" s="75" t="s">
        <v>297</v>
      </c>
      <c r="F14" s="73" t="s">
        <v>298</v>
      </c>
      <c r="G14" s="73" t="s">
        <v>295</v>
      </c>
      <c r="H14" s="74" t="s">
        <v>301</v>
      </c>
      <c r="I14" s="76" t="s">
        <v>277</v>
      </c>
      <c r="J14" s="76" t="s">
        <v>276</v>
      </c>
      <c r="L14" s="75" t="s">
        <v>294</v>
      </c>
      <c r="M14" s="75" t="s">
        <v>295</v>
      </c>
      <c r="N14" s="75" t="s">
        <v>296</v>
      </c>
      <c r="O14" s="75" t="s">
        <v>297</v>
      </c>
      <c r="P14" s="73" t="s">
        <v>298</v>
      </c>
      <c r="Q14" s="73" t="s">
        <v>295</v>
      </c>
      <c r="R14" s="74" t="s">
        <v>301</v>
      </c>
      <c r="S14" s="76" t="s">
        <v>277</v>
      </c>
      <c r="T14" s="76" t="s">
        <v>276</v>
      </c>
      <c r="V14" s="75" t="s">
        <v>294</v>
      </c>
      <c r="W14" s="75" t="s">
        <v>295</v>
      </c>
      <c r="X14" s="75" t="s">
        <v>296</v>
      </c>
      <c r="Y14" s="75" t="s">
        <v>297</v>
      </c>
      <c r="Z14" s="73" t="s">
        <v>298</v>
      </c>
      <c r="AA14" s="73" t="s">
        <v>295</v>
      </c>
      <c r="AB14" s="74" t="s">
        <v>301</v>
      </c>
      <c r="AC14" s="76" t="s">
        <v>277</v>
      </c>
      <c r="AD14" s="76" t="s">
        <v>276</v>
      </c>
    </row>
    <row r="15" spans="1:30" ht="14.25" x14ac:dyDescent="0.2">
      <c r="A15" s="3"/>
      <c r="B15" s="5"/>
      <c r="C15" s="5"/>
      <c r="D15" s="5"/>
      <c r="E15" s="5"/>
      <c r="F15" s="5"/>
      <c r="G15" s="5"/>
      <c r="H15" s="5"/>
      <c r="L15" s="5"/>
      <c r="M15" s="5"/>
      <c r="N15" s="5"/>
      <c r="O15" s="5"/>
      <c r="P15" s="5"/>
      <c r="Q15" s="5"/>
      <c r="R15" s="5"/>
      <c r="V15" s="5"/>
      <c r="W15" s="5"/>
      <c r="X15" s="5"/>
      <c r="Y15" s="5"/>
      <c r="Z15" s="5"/>
      <c r="AA15" s="5"/>
      <c r="AB15" s="5"/>
    </row>
    <row r="16" spans="1:30" ht="14.25" x14ac:dyDescent="0.2">
      <c r="A16" s="3" t="s">
        <v>11</v>
      </c>
      <c r="B16" s="11"/>
      <c r="C16" s="5"/>
      <c r="D16" s="5"/>
      <c r="E16" s="5"/>
      <c r="F16" s="5"/>
      <c r="G16" s="5"/>
      <c r="H16" s="5"/>
      <c r="L16" s="11"/>
      <c r="M16" s="5"/>
      <c r="N16" s="5"/>
      <c r="O16" s="5"/>
      <c r="P16" s="5"/>
      <c r="Q16" s="5"/>
      <c r="R16" s="5"/>
      <c r="V16" s="11"/>
      <c r="W16" s="5"/>
      <c r="X16" s="5"/>
      <c r="Y16" s="5"/>
      <c r="Z16" s="5"/>
      <c r="AA16" s="5"/>
      <c r="AB16" s="5"/>
    </row>
    <row r="17" spans="1:30" ht="14.25" x14ac:dyDescent="0.2">
      <c r="A17" s="3" t="s">
        <v>9</v>
      </c>
      <c r="B17" s="136">
        <f>(2000*0.96)</f>
        <v>1920</v>
      </c>
      <c r="C17" s="136">
        <f>(15000*0.96)</f>
        <v>14400</v>
      </c>
      <c r="D17" s="136" t="s">
        <v>319</v>
      </c>
      <c r="E17" s="136">
        <f>(300*0.96)</f>
        <v>288</v>
      </c>
      <c r="F17" s="136">
        <f>(1454*0.96)</f>
        <v>1395.84</v>
      </c>
      <c r="G17" s="136">
        <f>(13095*0.96)</f>
        <v>12571.199999999999</v>
      </c>
      <c r="H17" s="136" t="s">
        <v>319</v>
      </c>
      <c r="I17" s="136">
        <v>23</v>
      </c>
      <c r="J17" s="136">
        <v>150</v>
      </c>
      <c r="L17" s="136">
        <v>1300</v>
      </c>
      <c r="M17" s="136">
        <v>1450</v>
      </c>
      <c r="N17" s="136">
        <v>100</v>
      </c>
      <c r="O17" s="136">
        <v>325</v>
      </c>
      <c r="P17" s="136">
        <v>740</v>
      </c>
      <c r="Q17" s="136">
        <v>4295</v>
      </c>
      <c r="R17" s="136" t="s">
        <v>319</v>
      </c>
      <c r="S17" s="136">
        <v>18</v>
      </c>
      <c r="T17" s="136">
        <v>70</v>
      </c>
      <c r="V17" s="136">
        <v>240</v>
      </c>
      <c r="W17" s="136">
        <v>80</v>
      </c>
      <c r="X17" s="136" t="s">
        <v>319</v>
      </c>
      <c r="Y17" s="136">
        <v>600</v>
      </c>
      <c r="Z17" s="136">
        <v>200</v>
      </c>
      <c r="AA17" s="136">
        <v>3200</v>
      </c>
      <c r="AB17" s="136" t="s">
        <v>319</v>
      </c>
      <c r="AC17" s="126">
        <v>31.25</v>
      </c>
      <c r="AD17" s="136">
        <v>600</v>
      </c>
    </row>
    <row r="18" spans="1:30" ht="14.25" x14ac:dyDescent="0.2">
      <c r="A18" s="3" t="s">
        <v>281</v>
      </c>
      <c r="B18" s="136" t="s">
        <v>319</v>
      </c>
      <c r="C18" s="136" t="s">
        <v>319</v>
      </c>
      <c r="D18" s="136" t="s">
        <v>319</v>
      </c>
      <c r="E18" s="136" t="s">
        <v>319</v>
      </c>
      <c r="F18" s="136" t="s">
        <v>319</v>
      </c>
      <c r="G18" s="136" t="s">
        <v>319</v>
      </c>
      <c r="H18" s="136" t="s">
        <v>319</v>
      </c>
      <c r="I18" s="136">
        <v>23</v>
      </c>
      <c r="J18" s="136">
        <v>150</v>
      </c>
      <c r="L18" s="136" t="s">
        <v>319</v>
      </c>
      <c r="M18" s="136" t="s">
        <v>319</v>
      </c>
      <c r="N18" s="136" t="s">
        <v>319</v>
      </c>
      <c r="O18" s="136" t="s">
        <v>319</v>
      </c>
      <c r="P18" s="136">
        <v>1000</v>
      </c>
      <c r="Q18" s="136">
        <v>6000</v>
      </c>
      <c r="R18" s="136" t="s">
        <v>319</v>
      </c>
      <c r="S18" s="136">
        <v>18</v>
      </c>
      <c r="T18" s="136">
        <v>70</v>
      </c>
      <c r="V18" s="136">
        <v>240</v>
      </c>
      <c r="W18" s="136">
        <v>80</v>
      </c>
      <c r="X18" s="136" t="s">
        <v>319</v>
      </c>
      <c r="Y18" s="136">
        <v>600</v>
      </c>
      <c r="Z18" s="136">
        <v>200</v>
      </c>
      <c r="AA18" s="136">
        <v>3200</v>
      </c>
      <c r="AB18" s="136" t="s">
        <v>319</v>
      </c>
      <c r="AC18" s="136" t="s">
        <v>319</v>
      </c>
      <c r="AD18" s="136" t="s">
        <v>319</v>
      </c>
    </row>
    <row r="19" spans="1:30" ht="14.25" x14ac:dyDescent="0.2">
      <c r="A19" s="3" t="s">
        <v>280</v>
      </c>
      <c r="B19" s="136" t="s">
        <v>319</v>
      </c>
      <c r="C19" s="136" t="s">
        <v>319</v>
      </c>
      <c r="D19" s="136" t="s">
        <v>319</v>
      </c>
      <c r="E19" s="136" t="s">
        <v>319</v>
      </c>
      <c r="F19" s="136" t="s">
        <v>319</v>
      </c>
      <c r="G19" s="136" t="s">
        <v>319</v>
      </c>
      <c r="H19" s="136" t="s">
        <v>319</v>
      </c>
      <c r="I19" s="136">
        <v>23</v>
      </c>
      <c r="J19" s="136">
        <v>150</v>
      </c>
      <c r="L19" s="136" t="s">
        <v>319</v>
      </c>
      <c r="M19" s="136" t="s">
        <v>319</v>
      </c>
      <c r="N19" s="136" t="s">
        <v>319</v>
      </c>
      <c r="O19" s="136" t="s">
        <v>319</v>
      </c>
      <c r="P19" s="136">
        <v>1000</v>
      </c>
      <c r="Q19" s="136">
        <v>6000</v>
      </c>
      <c r="R19" s="136" t="s">
        <v>319</v>
      </c>
      <c r="S19" s="136">
        <v>18</v>
      </c>
      <c r="T19" s="136">
        <v>70</v>
      </c>
      <c r="V19" s="136">
        <v>240</v>
      </c>
      <c r="W19" s="136">
        <v>80</v>
      </c>
      <c r="X19" s="136" t="s">
        <v>319</v>
      </c>
      <c r="Y19" s="136">
        <v>600</v>
      </c>
      <c r="Z19" s="136">
        <v>200</v>
      </c>
      <c r="AA19" s="136">
        <v>3200</v>
      </c>
      <c r="AB19" s="136" t="s">
        <v>319</v>
      </c>
      <c r="AC19" s="136" t="s">
        <v>319</v>
      </c>
      <c r="AD19" s="136" t="s">
        <v>319</v>
      </c>
    </row>
    <row r="20" spans="1:30" ht="14.25" x14ac:dyDescent="0.2">
      <c r="A20" s="3"/>
      <c r="B20" s="137"/>
      <c r="C20" s="138"/>
      <c r="D20" s="138"/>
      <c r="E20" s="138"/>
      <c r="F20" s="138"/>
      <c r="G20" s="138"/>
      <c r="H20" s="138"/>
      <c r="I20" s="135"/>
      <c r="J20" s="135"/>
      <c r="L20" s="137"/>
      <c r="M20" s="138"/>
      <c r="N20" s="138"/>
      <c r="O20" s="138"/>
      <c r="P20" s="138"/>
      <c r="Q20" s="138"/>
      <c r="R20" s="138"/>
      <c r="S20" s="135"/>
      <c r="T20" s="135"/>
      <c r="V20" s="141"/>
      <c r="W20" s="142"/>
      <c r="X20" s="142"/>
      <c r="Y20" s="142"/>
      <c r="Z20" s="142"/>
      <c r="AA20" s="142"/>
      <c r="AB20" s="142"/>
      <c r="AC20" s="116"/>
      <c r="AD20" s="116"/>
    </row>
    <row r="21" spans="1:30" ht="28.5" x14ac:dyDescent="0.2">
      <c r="A21" s="2" t="s">
        <v>282</v>
      </c>
      <c r="B21" s="136">
        <f>(225*0.96)</f>
        <v>216</v>
      </c>
      <c r="C21" s="136">
        <f>(675*0.96)</f>
        <v>648</v>
      </c>
      <c r="D21" s="136" t="s">
        <v>319</v>
      </c>
      <c r="E21" s="136">
        <f>(300*0.96)</f>
        <v>288</v>
      </c>
      <c r="F21" s="136">
        <f>(108*0.96)</f>
        <v>103.67999999999999</v>
      </c>
      <c r="G21" s="136">
        <f>(972*0.96)</f>
        <v>933.12</v>
      </c>
      <c r="H21" s="136" t="s">
        <v>319</v>
      </c>
      <c r="I21" s="136">
        <v>23</v>
      </c>
      <c r="J21" s="136">
        <v>150</v>
      </c>
      <c r="L21" s="136">
        <v>275</v>
      </c>
      <c r="M21" s="136">
        <v>1500</v>
      </c>
      <c r="N21" s="136">
        <v>100</v>
      </c>
      <c r="O21" s="136">
        <v>325</v>
      </c>
      <c r="P21" s="136">
        <v>110</v>
      </c>
      <c r="Q21" s="136">
        <v>1290</v>
      </c>
      <c r="R21" s="136" t="s">
        <v>319</v>
      </c>
      <c r="S21" s="136">
        <v>18</v>
      </c>
      <c r="T21" s="136">
        <v>70</v>
      </c>
      <c r="V21" s="136">
        <v>360</v>
      </c>
      <c r="W21" s="136">
        <v>120</v>
      </c>
      <c r="X21" s="136" t="s">
        <v>319</v>
      </c>
      <c r="Y21" s="136">
        <v>600</v>
      </c>
      <c r="Z21" s="136">
        <v>200</v>
      </c>
      <c r="AA21" s="126">
        <v>960</v>
      </c>
      <c r="AB21" s="136" t="s">
        <v>319</v>
      </c>
      <c r="AC21" s="126">
        <v>31.25</v>
      </c>
      <c r="AD21" s="126">
        <v>150</v>
      </c>
    </row>
    <row r="22" spans="1:30" ht="14.25" x14ac:dyDescent="0.2">
      <c r="A22" s="3"/>
      <c r="B22" s="137"/>
      <c r="C22" s="138"/>
      <c r="D22" s="138"/>
      <c r="E22" s="138"/>
      <c r="F22" s="138"/>
      <c r="G22" s="138"/>
      <c r="H22" s="138"/>
      <c r="I22" s="135"/>
      <c r="J22" s="135"/>
      <c r="L22" s="137"/>
      <c r="M22" s="138"/>
      <c r="N22" s="138"/>
      <c r="O22" s="138"/>
      <c r="P22" s="138"/>
      <c r="Q22" s="138"/>
      <c r="R22" s="138"/>
      <c r="S22" s="135"/>
      <c r="T22" s="135"/>
      <c r="V22" s="141"/>
      <c r="W22" s="142"/>
      <c r="X22" s="142"/>
      <c r="Y22" s="142"/>
      <c r="Z22" s="142"/>
      <c r="AA22" s="142"/>
      <c r="AB22" s="142"/>
      <c r="AC22" s="116"/>
      <c r="AD22" s="116"/>
    </row>
    <row r="23" spans="1:30" ht="28.5" x14ac:dyDescent="0.2">
      <c r="A23" s="2" t="s">
        <v>283</v>
      </c>
      <c r="B23" s="136">
        <f>(543*0.96)</f>
        <v>521.28</v>
      </c>
      <c r="C23" s="136">
        <f>(1631*0.96)</f>
        <v>1565.76</v>
      </c>
      <c r="D23" s="136" t="s">
        <v>319</v>
      </c>
      <c r="E23" s="136">
        <f>(300*0.96)</f>
        <v>288</v>
      </c>
      <c r="F23" s="136">
        <f>(655*0.96)</f>
        <v>628.79999999999995</v>
      </c>
      <c r="G23" s="136">
        <f>(5894*0.96)</f>
        <v>5658.24</v>
      </c>
      <c r="H23" s="136" t="s">
        <v>319</v>
      </c>
      <c r="I23" s="136">
        <v>23</v>
      </c>
      <c r="J23" s="136">
        <v>150</v>
      </c>
      <c r="L23" s="136">
        <v>1000</v>
      </c>
      <c r="M23" s="136">
        <v>612</v>
      </c>
      <c r="N23" s="136">
        <v>100</v>
      </c>
      <c r="O23" s="136">
        <v>325</v>
      </c>
      <c r="P23" s="136">
        <v>380</v>
      </c>
      <c r="Q23" s="136">
        <v>7720</v>
      </c>
      <c r="R23" s="136" t="s">
        <v>319</v>
      </c>
      <c r="S23" s="136">
        <v>18</v>
      </c>
      <c r="T23" s="136">
        <v>70</v>
      </c>
      <c r="V23" s="136">
        <v>5220</v>
      </c>
      <c r="W23" s="136">
        <v>1740</v>
      </c>
      <c r="X23" s="136" t="s">
        <v>319</v>
      </c>
      <c r="Y23" s="136">
        <v>600</v>
      </c>
      <c r="Z23" s="136">
        <v>200</v>
      </c>
      <c r="AA23" s="136">
        <v>19200</v>
      </c>
      <c r="AB23" s="136" t="s">
        <v>319</v>
      </c>
      <c r="AC23" s="126">
        <v>31.25</v>
      </c>
      <c r="AD23" s="136">
        <v>400</v>
      </c>
    </row>
    <row r="24" spans="1:30" ht="13.5" customHeight="1" x14ac:dyDescent="0.2">
      <c r="A24" s="3"/>
      <c r="B24" s="139"/>
      <c r="C24" s="138"/>
      <c r="D24" s="138"/>
      <c r="E24" s="138"/>
      <c r="F24" s="138"/>
      <c r="G24" s="138"/>
      <c r="H24" s="138"/>
      <c r="I24" s="135"/>
      <c r="J24" s="135"/>
      <c r="L24" s="139"/>
      <c r="M24" s="138"/>
      <c r="N24" s="138"/>
      <c r="O24" s="138"/>
      <c r="P24" s="138"/>
      <c r="Q24" s="138"/>
      <c r="R24" s="138"/>
      <c r="S24" s="135"/>
      <c r="T24" s="135"/>
      <c r="V24" s="143"/>
      <c r="W24" s="142"/>
      <c r="X24" s="142"/>
      <c r="Y24" s="142"/>
      <c r="Z24" s="142"/>
      <c r="AA24" s="142"/>
      <c r="AB24" s="142"/>
      <c r="AC24" s="116"/>
      <c r="AD24" s="116"/>
    </row>
    <row r="25" spans="1:30" ht="25.5" customHeight="1" x14ac:dyDescent="0.2">
      <c r="A25" s="2" t="s">
        <v>284</v>
      </c>
      <c r="B25" s="136">
        <f>(129*0.96)</f>
        <v>123.83999999999999</v>
      </c>
      <c r="C25" s="136">
        <f>(389*0.96)</f>
        <v>373.44</v>
      </c>
      <c r="D25" s="136" t="s">
        <v>319</v>
      </c>
      <c r="E25" s="136">
        <f>(300*0.96)</f>
        <v>288</v>
      </c>
      <c r="F25" s="136">
        <f>(641*0.96)</f>
        <v>615.36</v>
      </c>
      <c r="G25" s="136">
        <f>(5778*0.96)</f>
        <v>5546.88</v>
      </c>
      <c r="H25" s="136" t="s">
        <v>319</v>
      </c>
      <c r="I25" s="136">
        <v>23</v>
      </c>
      <c r="J25" s="136">
        <v>150</v>
      </c>
      <c r="L25" s="136">
        <v>1400</v>
      </c>
      <c r="M25" s="136">
        <v>1600</v>
      </c>
      <c r="N25" s="136">
        <v>100</v>
      </c>
      <c r="O25" s="136">
        <v>325</v>
      </c>
      <c r="P25" s="136">
        <v>455</v>
      </c>
      <c r="Q25" s="136">
        <v>8635</v>
      </c>
      <c r="R25" s="136" t="s">
        <v>319</v>
      </c>
      <c r="S25" s="136">
        <v>18</v>
      </c>
      <c r="T25" s="136">
        <v>70</v>
      </c>
      <c r="V25" s="136">
        <v>2880</v>
      </c>
      <c r="W25" s="136">
        <v>960</v>
      </c>
      <c r="X25" s="136" t="s">
        <v>319</v>
      </c>
      <c r="Y25" s="136">
        <v>1200</v>
      </c>
      <c r="Z25" s="136">
        <v>200</v>
      </c>
      <c r="AA25" s="136">
        <v>9600</v>
      </c>
      <c r="AB25" s="136" t="s">
        <v>319</v>
      </c>
      <c r="AC25" s="126">
        <v>31.25</v>
      </c>
      <c r="AD25" s="136">
        <v>400</v>
      </c>
    </row>
    <row r="26" spans="1:30" ht="14.25" x14ac:dyDescent="0.2">
      <c r="A26" s="3"/>
      <c r="B26" s="139"/>
      <c r="C26" s="138"/>
      <c r="D26" s="138"/>
      <c r="E26" s="138"/>
      <c r="F26" s="138"/>
      <c r="G26" s="138"/>
      <c r="H26" s="138"/>
      <c r="I26" s="135"/>
      <c r="J26" s="135"/>
      <c r="L26" s="139"/>
      <c r="M26" s="138"/>
      <c r="N26" s="138"/>
      <c r="O26" s="138"/>
      <c r="P26" s="138"/>
      <c r="Q26" s="138"/>
      <c r="R26" s="138"/>
      <c r="S26" s="135"/>
      <c r="T26" s="135"/>
      <c r="V26" s="143"/>
      <c r="W26" s="142"/>
      <c r="X26" s="142"/>
      <c r="Y26" s="142"/>
      <c r="Z26" s="142"/>
      <c r="AA26" s="142"/>
      <c r="AB26" s="142"/>
      <c r="AC26" s="116"/>
      <c r="AD26" s="116"/>
    </row>
    <row r="27" spans="1:30" ht="14.25" x14ac:dyDescent="0.2">
      <c r="A27" s="3" t="s">
        <v>285</v>
      </c>
      <c r="B27" s="136">
        <f>(223*0.96)</f>
        <v>214.07999999999998</v>
      </c>
      <c r="C27" s="136">
        <f>(612*0.96)</f>
        <v>587.52</v>
      </c>
      <c r="D27" s="136" t="s">
        <v>319</v>
      </c>
      <c r="E27" s="136">
        <f>(300*0.96)</f>
        <v>288</v>
      </c>
      <c r="F27" s="136">
        <f>(155*0.96)</f>
        <v>148.79999999999998</v>
      </c>
      <c r="G27" s="136">
        <f>(1399*0.96)</f>
        <v>1343.04</v>
      </c>
      <c r="H27" s="136" t="s">
        <v>319</v>
      </c>
      <c r="I27" s="136">
        <v>23</v>
      </c>
      <c r="J27" s="136">
        <v>150</v>
      </c>
      <c r="L27" s="136">
        <v>150</v>
      </c>
      <c r="M27" s="136">
        <v>200</v>
      </c>
      <c r="N27" s="136" t="s">
        <v>319</v>
      </c>
      <c r="O27" s="136">
        <v>325</v>
      </c>
      <c r="P27" s="136">
        <v>220</v>
      </c>
      <c r="Q27" s="136">
        <v>2420</v>
      </c>
      <c r="R27" s="136" t="s">
        <v>319</v>
      </c>
      <c r="S27" s="136">
        <v>18</v>
      </c>
      <c r="T27" s="136">
        <v>70</v>
      </c>
      <c r="V27" s="136">
        <v>720</v>
      </c>
      <c r="W27" s="136">
        <v>240</v>
      </c>
      <c r="X27" s="136" t="s">
        <v>319</v>
      </c>
      <c r="Y27" s="136">
        <v>600</v>
      </c>
      <c r="Z27" s="136">
        <v>200</v>
      </c>
      <c r="AA27" s="136">
        <v>2400</v>
      </c>
      <c r="AB27" s="136" t="s">
        <v>319</v>
      </c>
      <c r="AC27" s="126">
        <v>31.25</v>
      </c>
      <c r="AD27" s="126">
        <v>150</v>
      </c>
    </row>
    <row r="28" spans="1:30" ht="14.25" x14ac:dyDescent="0.2">
      <c r="A28" s="3"/>
      <c r="B28" s="137"/>
      <c r="C28" s="138"/>
      <c r="D28" s="138"/>
      <c r="E28" s="138"/>
      <c r="F28" s="138"/>
      <c r="G28" s="138"/>
      <c r="H28" s="138"/>
      <c r="I28" s="135"/>
      <c r="J28" s="135"/>
      <c r="L28" s="137"/>
      <c r="M28" s="138"/>
      <c r="N28" s="138"/>
      <c r="O28" s="138"/>
      <c r="P28" s="138"/>
      <c r="Q28" s="138"/>
      <c r="R28" s="138"/>
      <c r="S28" s="135"/>
      <c r="T28" s="135"/>
      <c r="V28" s="141"/>
      <c r="W28" s="142"/>
      <c r="X28" s="142"/>
      <c r="Y28" s="142"/>
      <c r="Z28" s="142"/>
      <c r="AA28" s="142"/>
      <c r="AB28" s="142"/>
      <c r="AC28" s="116"/>
      <c r="AD28" s="116"/>
    </row>
    <row r="29" spans="1:30" ht="32.25" customHeight="1" x14ac:dyDescent="0.2">
      <c r="A29" s="2" t="s">
        <v>286</v>
      </c>
      <c r="B29" s="136">
        <f>(450*0.96)</f>
        <v>432</v>
      </c>
      <c r="C29" s="136">
        <f>(1350*0.96)</f>
        <v>1296</v>
      </c>
      <c r="D29" s="136" t="s">
        <v>319</v>
      </c>
      <c r="E29" s="136">
        <f>(300*0.96)</f>
        <v>288</v>
      </c>
      <c r="F29" s="136">
        <f>(315*0.96)</f>
        <v>302.39999999999998</v>
      </c>
      <c r="G29" s="136">
        <f>(2837*0.96)</f>
        <v>2723.52</v>
      </c>
      <c r="H29" s="136" t="s">
        <v>319</v>
      </c>
      <c r="I29" s="136">
        <v>23</v>
      </c>
      <c r="J29" s="136">
        <v>150</v>
      </c>
      <c r="L29" s="136">
        <v>1200</v>
      </c>
      <c r="M29" s="136">
        <v>408</v>
      </c>
      <c r="N29" s="136">
        <v>100</v>
      </c>
      <c r="O29" s="136">
        <v>325</v>
      </c>
      <c r="P29" s="136">
        <v>345</v>
      </c>
      <c r="Q29" s="136">
        <v>2605</v>
      </c>
      <c r="R29" s="136" t="s">
        <v>319</v>
      </c>
      <c r="S29" s="136">
        <v>18</v>
      </c>
      <c r="T29" s="136">
        <v>70</v>
      </c>
      <c r="V29" s="136">
        <v>1980</v>
      </c>
      <c r="W29" s="136">
        <v>660</v>
      </c>
      <c r="X29" s="136">
        <v>360</v>
      </c>
      <c r="Y29" s="136">
        <v>600</v>
      </c>
      <c r="Z29" s="136">
        <v>200</v>
      </c>
      <c r="AA29" s="136">
        <v>4800</v>
      </c>
      <c r="AB29" s="136" t="s">
        <v>319</v>
      </c>
      <c r="AC29" s="126">
        <v>31.25</v>
      </c>
      <c r="AD29" s="136">
        <v>225</v>
      </c>
    </row>
    <row r="30" spans="1:30" ht="14.25" x14ac:dyDescent="0.2">
      <c r="A30" s="3"/>
      <c r="B30" s="140"/>
      <c r="C30" s="138"/>
      <c r="D30" s="138"/>
      <c r="E30" s="138"/>
      <c r="F30" s="138"/>
      <c r="G30" s="138"/>
      <c r="H30" s="138"/>
      <c r="I30" s="135"/>
      <c r="J30" s="135"/>
      <c r="L30" s="140"/>
      <c r="M30" s="138"/>
      <c r="N30" s="138"/>
      <c r="O30" s="138"/>
      <c r="P30" s="138"/>
      <c r="Q30" s="138"/>
      <c r="R30" s="138"/>
      <c r="S30" s="135"/>
      <c r="T30" s="135"/>
      <c r="V30" s="144"/>
      <c r="W30" s="142"/>
      <c r="X30" s="142"/>
      <c r="Y30" s="142"/>
      <c r="Z30" s="142"/>
      <c r="AA30" s="142"/>
      <c r="AB30" s="142"/>
      <c r="AC30" s="116"/>
      <c r="AD30" s="116"/>
    </row>
    <row r="31" spans="1:30" ht="31.5" customHeight="1" x14ac:dyDescent="0.2">
      <c r="A31" s="2" t="s">
        <v>287</v>
      </c>
      <c r="B31" s="115">
        <f>(543*0.96)</f>
        <v>521.28</v>
      </c>
      <c r="C31" s="136">
        <f>(1631*0.96)</f>
        <v>1565.76</v>
      </c>
      <c r="D31" s="136" t="s">
        <v>319</v>
      </c>
      <c r="E31" s="136">
        <f>(300*0.96)</f>
        <v>288</v>
      </c>
      <c r="F31" s="136">
        <f>(65*0.96)</f>
        <v>62.4</v>
      </c>
      <c r="G31" s="136">
        <f>(590*0.96)</f>
        <v>566.4</v>
      </c>
      <c r="H31" s="136" t="s">
        <v>319</v>
      </c>
      <c r="I31" s="136">
        <v>23</v>
      </c>
      <c r="J31" s="136">
        <v>150</v>
      </c>
      <c r="L31" s="115">
        <v>200</v>
      </c>
      <c r="M31" s="136">
        <v>800</v>
      </c>
      <c r="N31" s="136">
        <v>0</v>
      </c>
      <c r="O31" s="136">
        <v>325</v>
      </c>
      <c r="P31" s="136">
        <v>185</v>
      </c>
      <c r="Q31" s="136">
        <v>980</v>
      </c>
      <c r="R31" s="136" t="s">
        <v>319</v>
      </c>
      <c r="S31" s="136">
        <v>18</v>
      </c>
      <c r="T31" s="136">
        <v>70</v>
      </c>
      <c r="V31" s="136">
        <v>720</v>
      </c>
      <c r="W31" s="136">
        <v>240</v>
      </c>
      <c r="X31" s="136" t="s">
        <v>319</v>
      </c>
      <c r="Y31" s="136">
        <v>600</v>
      </c>
      <c r="Z31" s="136">
        <v>200</v>
      </c>
      <c r="AA31" s="136">
        <v>9600</v>
      </c>
      <c r="AB31" s="136" t="s">
        <v>319</v>
      </c>
      <c r="AC31" s="145">
        <v>31.25</v>
      </c>
      <c r="AD31" s="136">
        <v>150</v>
      </c>
    </row>
    <row r="32" spans="1:30" ht="14.25" x14ac:dyDescent="0.2">
      <c r="A32" s="2"/>
      <c r="B32" s="140"/>
      <c r="C32" s="138"/>
      <c r="D32" s="138"/>
      <c r="E32" s="138"/>
      <c r="F32" s="138"/>
      <c r="G32" s="138"/>
      <c r="H32" s="138"/>
      <c r="I32" s="135"/>
      <c r="J32" s="135"/>
      <c r="L32" s="140"/>
      <c r="M32" s="138"/>
      <c r="N32" s="138"/>
      <c r="O32" s="138"/>
      <c r="P32" s="138"/>
      <c r="Q32" s="138"/>
      <c r="R32" s="138"/>
      <c r="S32" s="135"/>
      <c r="T32" s="135"/>
      <c r="V32" s="144"/>
      <c r="W32" s="142"/>
      <c r="X32" s="142"/>
      <c r="Y32" s="142"/>
      <c r="Z32" s="142"/>
      <c r="AA32" s="142"/>
      <c r="AB32" s="142"/>
      <c r="AC32" s="116"/>
      <c r="AD32" s="116"/>
    </row>
    <row r="33" spans="1:30" ht="30.75" customHeight="1" x14ac:dyDescent="0.2">
      <c r="A33" s="2" t="s">
        <v>288</v>
      </c>
      <c r="B33" s="136">
        <f>(540*0.96)</f>
        <v>518.4</v>
      </c>
      <c r="C33" s="136">
        <f>(1620*0.96)</f>
        <v>1555.2</v>
      </c>
      <c r="D33" s="136" t="s">
        <v>319</v>
      </c>
      <c r="E33" s="136">
        <f>(300*0.96)</f>
        <v>288</v>
      </c>
      <c r="F33" s="136">
        <f>(89*0.96)</f>
        <v>85.44</v>
      </c>
      <c r="G33" s="136">
        <f>(803*0.96)</f>
        <v>770.88</v>
      </c>
      <c r="H33" s="136" t="s">
        <v>319</v>
      </c>
      <c r="I33" s="136">
        <v>23</v>
      </c>
      <c r="J33" s="136">
        <v>150</v>
      </c>
      <c r="L33" s="136">
        <v>250</v>
      </c>
      <c r="M33" s="136">
        <v>450</v>
      </c>
      <c r="N33" s="136">
        <v>100</v>
      </c>
      <c r="O33" s="136">
        <v>3025</v>
      </c>
      <c r="P33" s="136">
        <v>265</v>
      </c>
      <c r="Q33" s="136">
        <v>1095</v>
      </c>
      <c r="R33" s="136" t="s">
        <v>319</v>
      </c>
      <c r="S33" s="136">
        <v>18</v>
      </c>
      <c r="T33" s="136">
        <v>70</v>
      </c>
      <c r="V33" s="136">
        <v>360</v>
      </c>
      <c r="W33" s="136">
        <v>120</v>
      </c>
      <c r="X33" s="136">
        <v>240</v>
      </c>
      <c r="Y33" s="136">
        <v>600</v>
      </c>
      <c r="Z33" s="136" t="s">
        <v>319</v>
      </c>
      <c r="AA33" s="136">
        <v>1920</v>
      </c>
      <c r="AB33" s="136" t="s">
        <v>319</v>
      </c>
      <c r="AC33" s="136">
        <v>31.25</v>
      </c>
      <c r="AD33" s="136">
        <v>150</v>
      </c>
    </row>
    <row r="34" spans="1:30" ht="16.7" customHeight="1" x14ac:dyDescent="0.2">
      <c r="A34" s="2"/>
      <c r="B34" s="137"/>
      <c r="C34" s="137"/>
      <c r="D34" s="137"/>
      <c r="E34" s="138"/>
      <c r="F34" s="138"/>
      <c r="G34" s="138"/>
      <c r="H34" s="138"/>
      <c r="I34" s="135"/>
      <c r="J34" s="135"/>
      <c r="L34" s="137"/>
      <c r="M34" s="137"/>
      <c r="N34" s="137"/>
      <c r="O34" s="138"/>
      <c r="P34" s="138"/>
      <c r="Q34" s="138"/>
      <c r="R34" s="138"/>
      <c r="S34" s="135"/>
      <c r="T34" s="135"/>
      <c r="V34" s="141"/>
      <c r="W34" s="141"/>
      <c r="X34" s="141"/>
      <c r="Y34" s="142"/>
      <c r="Z34" s="142"/>
      <c r="AA34" s="142"/>
      <c r="AB34" s="142"/>
      <c r="AC34" s="116"/>
      <c r="AD34" s="116"/>
    </row>
    <row r="35" spans="1:30" ht="37.35" customHeight="1" x14ac:dyDescent="0.2">
      <c r="A35" s="2" t="s">
        <v>12</v>
      </c>
      <c r="B35" s="136">
        <f>(112*0.96)</f>
        <v>107.52</v>
      </c>
      <c r="C35" s="136">
        <f>(338*0.96)</f>
        <v>324.47999999999996</v>
      </c>
      <c r="D35" s="136" t="s">
        <v>319</v>
      </c>
      <c r="E35" s="136">
        <f>(300*0.96)</f>
        <v>288</v>
      </c>
      <c r="F35" s="136">
        <f>(100*0.96)</f>
        <v>96</v>
      </c>
      <c r="G35" s="136">
        <f>(910*0.96)</f>
        <v>873.6</v>
      </c>
      <c r="H35" s="136" t="s">
        <v>319</v>
      </c>
      <c r="I35" s="136">
        <v>23</v>
      </c>
      <c r="J35" s="136">
        <v>150</v>
      </c>
      <c r="L35" s="136">
        <v>150</v>
      </c>
      <c r="M35" s="136" t="s">
        <v>319</v>
      </c>
      <c r="N35" s="136" t="s">
        <v>319</v>
      </c>
      <c r="O35" s="136">
        <v>325</v>
      </c>
      <c r="P35" s="136">
        <v>140</v>
      </c>
      <c r="Q35" s="136">
        <v>995</v>
      </c>
      <c r="R35" s="136" t="s">
        <v>319</v>
      </c>
      <c r="S35" s="136">
        <v>18</v>
      </c>
      <c r="T35" s="136">
        <v>70</v>
      </c>
      <c r="V35" s="136">
        <v>360</v>
      </c>
      <c r="W35" s="136">
        <v>120</v>
      </c>
      <c r="X35" s="136" t="s">
        <v>319</v>
      </c>
      <c r="Y35" s="136">
        <v>600</v>
      </c>
      <c r="Z35" s="136">
        <v>200</v>
      </c>
      <c r="AA35" s="136">
        <v>1920</v>
      </c>
      <c r="AB35" s="136" t="s">
        <v>319</v>
      </c>
      <c r="AC35" s="136" t="s">
        <v>319</v>
      </c>
      <c r="AD35" s="136" t="s">
        <v>319</v>
      </c>
    </row>
    <row r="36" spans="1:30" ht="16.7" customHeight="1" x14ac:dyDescent="0.2">
      <c r="A36" s="2"/>
      <c r="B36" s="137"/>
      <c r="C36" s="137"/>
      <c r="D36" s="137"/>
      <c r="E36" s="138"/>
      <c r="F36" s="138"/>
      <c r="G36" s="138"/>
      <c r="H36" s="138"/>
      <c r="I36" s="135"/>
      <c r="J36" s="135"/>
      <c r="L36" s="137"/>
      <c r="M36" s="137"/>
      <c r="N36" s="137"/>
      <c r="O36" s="138"/>
      <c r="P36" s="138"/>
      <c r="Q36" s="138"/>
      <c r="R36" s="138"/>
      <c r="S36" s="135"/>
      <c r="T36" s="135"/>
      <c r="V36" s="141"/>
      <c r="W36" s="141"/>
      <c r="X36" s="141"/>
      <c r="Y36" s="142"/>
      <c r="Z36" s="142"/>
      <c r="AA36" s="142"/>
      <c r="AB36" s="142"/>
      <c r="AC36" s="116"/>
      <c r="AD36" s="116"/>
    </row>
    <row r="37" spans="1:30" ht="21" customHeight="1" x14ac:dyDescent="0.2">
      <c r="A37" s="2" t="s">
        <v>13</v>
      </c>
      <c r="B37" s="136">
        <f>(675*0.96)</f>
        <v>648</v>
      </c>
      <c r="C37" s="136">
        <f>(2025*0.96)</f>
        <v>1944</v>
      </c>
      <c r="D37" s="136" t="s">
        <v>319</v>
      </c>
      <c r="E37" s="136">
        <f>(300*0.96)</f>
        <v>288</v>
      </c>
      <c r="F37" s="136">
        <f>(100*0.96)</f>
        <v>96</v>
      </c>
      <c r="G37" s="136">
        <f>(910*0.96)</f>
        <v>873.6</v>
      </c>
      <c r="H37" s="136" t="s">
        <v>319</v>
      </c>
      <c r="I37" s="136">
        <v>23</v>
      </c>
      <c r="J37" s="136">
        <v>150</v>
      </c>
      <c r="L37" s="136">
        <v>500</v>
      </c>
      <c r="M37" s="136">
        <v>1000</v>
      </c>
      <c r="N37" s="136">
        <v>100</v>
      </c>
      <c r="O37" s="136">
        <v>325</v>
      </c>
      <c r="P37" s="136">
        <v>105</v>
      </c>
      <c r="Q37" s="136">
        <v>1650</v>
      </c>
      <c r="R37" s="136" t="s">
        <v>319</v>
      </c>
      <c r="S37" s="136">
        <v>18</v>
      </c>
      <c r="T37" s="136">
        <v>70</v>
      </c>
      <c r="V37" s="146">
        <v>720</v>
      </c>
      <c r="W37" s="146">
        <v>240</v>
      </c>
      <c r="X37" s="136" t="s">
        <v>319</v>
      </c>
      <c r="Y37" s="146">
        <v>1200</v>
      </c>
      <c r="Z37" s="146">
        <v>200</v>
      </c>
      <c r="AA37" s="146">
        <v>1920</v>
      </c>
      <c r="AB37" s="136" t="s">
        <v>319</v>
      </c>
      <c r="AC37" s="136" t="s">
        <v>319</v>
      </c>
      <c r="AD37" s="136" t="s">
        <v>319</v>
      </c>
    </row>
    <row r="38" spans="1:30" ht="30.75" customHeight="1" x14ac:dyDescent="0.2">
      <c r="A38" s="2" t="s">
        <v>269</v>
      </c>
      <c r="B38" s="136">
        <f>(117*0.96)</f>
        <v>112.32</v>
      </c>
      <c r="C38" s="136">
        <f>(349*0.96)</f>
        <v>335.03999999999996</v>
      </c>
      <c r="D38" s="136" t="s">
        <v>319</v>
      </c>
      <c r="E38" s="136">
        <f>(300*0.96)</f>
        <v>288</v>
      </c>
      <c r="F38" s="136">
        <f>(125*0.96)</f>
        <v>120</v>
      </c>
      <c r="G38" s="136">
        <f>(1125*0.96)</f>
        <v>1080</v>
      </c>
      <c r="H38" s="136" t="s">
        <v>319</v>
      </c>
      <c r="I38" s="136">
        <v>23</v>
      </c>
      <c r="J38" s="136">
        <v>150</v>
      </c>
      <c r="L38" s="136">
        <v>150</v>
      </c>
      <c r="M38" s="136">
        <v>200</v>
      </c>
      <c r="N38" s="136" t="s">
        <v>319</v>
      </c>
      <c r="O38" s="136">
        <v>325</v>
      </c>
      <c r="P38" s="136">
        <v>175</v>
      </c>
      <c r="Q38" s="136">
        <v>190</v>
      </c>
      <c r="R38" s="136" t="s">
        <v>319</v>
      </c>
      <c r="S38" s="136">
        <v>18</v>
      </c>
      <c r="T38" s="136">
        <v>70</v>
      </c>
      <c r="V38" s="146">
        <v>90</v>
      </c>
      <c r="W38" s="146">
        <v>30</v>
      </c>
      <c r="X38" s="136" t="s">
        <v>319</v>
      </c>
      <c r="Y38" s="146">
        <v>500</v>
      </c>
      <c r="Z38" s="146">
        <v>200</v>
      </c>
      <c r="AA38" s="146">
        <v>240</v>
      </c>
      <c r="AB38" s="136" t="s">
        <v>319</v>
      </c>
      <c r="AC38" s="136" t="s">
        <v>319</v>
      </c>
      <c r="AD38" s="136" t="s">
        <v>319</v>
      </c>
    </row>
    <row r="39" spans="1:30" ht="30.75" customHeight="1" x14ac:dyDescent="0.2">
      <c r="A39" s="2"/>
      <c r="B39" s="137"/>
      <c r="C39" s="137"/>
      <c r="D39" s="137"/>
      <c r="E39" s="138"/>
      <c r="F39" s="138"/>
      <c r="G39" s="138"/>
      <c r="H39" s="138"/>
      <c r="I39" s="135"/>
      <c r="J39" s="135"/>
      <c r="L39" s="137"/>
      <c r="M39" s="137"/>
      <c r="N39" s="137"/>
      <c r="O39" s="138"/>
      <c r="P39" s="138"/>
      <c r="Q39" s="138"/>
      <c r="R39" s="138"/>
      <c r="S39" s="135"/>
      <c r="T39" s="135"/>
      <c r="V39" s="141"/>
      <c r="W39" s="141"/>
      <c r="X39" s="141"/>
      <c r="Y39" s="142"/>
      <c r="Z39" s="142"/>
      <c r="AA39" s="142"/>
      <c r="AB39" s="142"/>
      <c r="AC39" s="116"/>
      <c r="AD39" s="116"/>
    </row>
    <row r="40" spans="1:30" ht="14.25" x14ac:dyDescent="0.2">
      <c r="A40" s="2"/>
      <c r="B40" s="137"/>
      <c r="C40" s="138"/>
      <c r="D40" s="138"/>
      <c r="E40" s="138"/>
      <c r="F40" s="138"/>
      <c r="G40" s="138"/>
      <c r="H40" s="138"/>
      <c r="I40" s="135"/>
      <c r="J40" s="135"/>
      <c r="L40" s="137"/>
      <c r="M40" s="138"/>
      <c r="N40" s="138"/>
      <c r="O40" s="138"/>
      <c r="P40" s="138"/>
      <c r="Q40" s="138"/>
      <c r="R40" s="138"/>
      <c r="S40" s="135"/>
      <c r="T40" s="135"/>
      <c r="V40" s="141"/>
      <c r="W40" s="142"/>
      <c r="X40" s="142"/>
      <c r="Y40" s="142"/>
      <c r="Z40" s="142"/>
      <c r="AA40" s="142"/>
      <c r="AB40" s="142"/>
      <c r="AC40" s="116"/>
      <c r="AD40" s="116"/>
    </row>
    <row r="41" spans="1:30" ht="24" customHeight="1" x14ac:dyDescent="0.25">
      <c r="A41" s="8" t="s">
        <v>2</v>
      </c>
      <c r="B41" s="126">
        <f>(5557*0.96)</f>
        <v>5334.72</v>
      </c>
      <c r="C41" s="126">
        <f>(25620*0.96)</f>
        <v>24595.200000000001</v>
      </c>
      <c r="D41" s="136" t="s">
        <v>319</v>
      </c>
      <c r="E41" s="126">
        <f>(3300*0.96)</f>
        <v>3168</v>
      </c>
      <c r="F41" s="126">
        <f>(3807*0.96)</f>
        <v>3654.72</v>
      </c>
      <c r="G41" s="126">
        <f>(34313*0.96)</f>
        <v>32940.479999999996</v>
      </c>
      <c r="H41" s="136" t="s">
        <v>319</v>
      </c>
      <c r="I41" s="126">
        <v>299</v>
      </c>
      <c r="J41" s="126">
        <v>1950</v>
      </c>
      <c r="L41" s="126">
        <v>6575</v>
      </c>
      <c r="M41" s="126">
        <v>8220</v>
      </c>
      <c r="N41" s="126">
        <v>700</v>
      </c>
      <c r="O41" s="126">
        <v>3575</v>
      </c>
      <c r="P41" s="126">
        <v>5120</v>
      </c>
      <c r="Q41" s="126">
        <v>43875</v>
      </c>
      <c r="R41" s="136" t="s">
        <v>319</v>
      </c>
      <c r="S41" s="126">
        <v>234</v>
      </c>
      <c r="T41" s="126">
        <v>910</v>
      </c>
      <c r="V41" s="147">
        <v>14130</v>
      </c>
      <c r="W41" s="147">
        <v>4710</v>
      </c>
      <c r="X41" s="147">
        <v>600</v>
      </c>
      <c r="Y41" s="147">
        <v>8900</v>
      </c>
      <c r="Z41" s="147">
        <v>2400</v>
      </c>
      <c r="AA41" s="147">
        <v>62160</v>
      </c>
      <c r="AB41" s="136" t="s">
        <v>319</v>
      </c>
      <c r="AC41" s="147">
        <v>250</v>
      </c>
      <c r="AD41" s="147">
        <v>2225</v>
      </c>
    </row>
    <row r="42" spans="1:30" ht="14.25" x14ac:dyDescent="0.2">
      <c r="A42" s="3"/>
    </row>
    <row r="43" spans="1:30" ht="30" x14ac:dyDescent="0.25">
      <c r="A43" s="3" t="s">
        <v>4</v>
      </c>
      <c r="B43" s="4" t="s">
        <v>5</v>
      </c>
      <c r="C43" s="4" t="s">
        <v>6</v>
      </c>
      <c r="D43" s="12" t="s">
        <v>7</v>
      </c>
      <c r="L43" s="4" t="s">
        <v>5</v>
      </c>
      <c r="M43" s="4" t="s">
        <v>6</v>
      </c>
      <c r="N43" s="12" t="s">
        <v>7</v>
      </c>
      <c r="V43" s="4" t="s">
        <v>5</v>
      </c>
      <c r="W43" s="4" t="s">
        <v>6</v>
      </c>
      <c r="X43" s="12" t="s">
        <v>7</v>
      </c>
    </row>
    <row r="44" spans="1:30" ht="14.25" x14ac:dyDescent="0.2">
      <c r="A44" s="3"/>
      <c r="B44" s="95">
        <v>185</v>
      </c>
      <c r="C44" s="127">
        <v>185</v>
      </c>
      <c r="D44" s="95">
        <v>150</v>
      </c>
      <c r="L44" s="7">
        <v>176.44</v>
      </c>
      <c r="M44" s="7">
        <v>176.44</v>
      </c>
      <c r="N44" s="7">
        <v>143.16</v>
      </c>
      <c r="V44" s="120">
        <v>180</v>
      </c>
      <c r="W44" s="120">
        <v>240</v>
      </c>
      <c r="X44" s="120">
        <v>180</v>
      </c>
    </row>
    <row r="45" spans="1:30" ht="14.25" x14ac:dyDescent="0.2">
      <c r="A45" s="3"/>
      <c r="B45" s="1"/>
      <c r="C45" s="1"/>
      <c r="D45" s="1"/>
      <c r="L45" s="1"/>
      <c r="M45" s="1"/>
      <c r="N45" s="1"/>
      <c r="V45" s="1"/>
      <c r="W45" s="1"/>
      <c r="X45" s="1"/>
    </row>
    <row r="46" spans="1:30" ht="14.25" x14ac:dyDescent="0.2">
      <c r="A46" s="3" t="s">
        <v>10</v>
      </c>
      <c r="B46" s="233" t="s">
        <v>310</v>
      </c>
      <c r="C46" s="233"/>
      <c r="D46" s="233"/>
      <c r="L46" s="233"/>
      <c r="M46" s="233"/>
      <c r="N46" s="233"/>
      <c r="V46" s="223" t="s">
        <v>327</v>
      </c>
      <c r="W46" s="224"/>
      <c r="X46" s="225"/>
    </row>
    <row r="47" spans="1:30" ht="14.25" x14ac:dyDescent="0.2">
      <c r="A47" s="3"/>
      <c r="B47" s="233" t="s">
        <v>311</v>
      </c>
      <c r="C47" s="233"/>
      <c r="D47" s="233"/>
      <c r="L47" s="233"/>
      <c r="M47" s="233"/>
      <c r="N47" s="233"/>
      <c r="V47" s="223" t="s">
        <v>328</v>
      </c>
      <c r="W47" s="224"/>
      <c r="X47" s="225"/>
    </row>
    <row r="48" spans="1:30" ht="14.25" x14ac:dyDescent="0.2">
      <c r="A48" s="3"/>
      <c r="B48" s="233" t="s">
        <v>317</v>
      </c>
      <c r="C48" s="233"/>
      <c r="D48" s="233"/>
      <c r="L48" s="233"/>
      <c r="M48" s="233"/>
      <c r="N48" s="233"/>
      <c r="V48" s="223" t="s">
        <v>329</v>
      </c>
      <c r="W48" s="224"/>
      <c r="X48" s="225"/>
    </row>
    <row r="49" spans="1:24" ht="14.25" x14ac:dyDescent="0.2">
      <c r="A49" s="3"/>
      <c r="B49" s="233" t="s">
        <v>312</v>
      </c>
      <c r="C49" s="233"/>
      <c r="D49" s="233"/>
      <c r="L49" s="233"/>
      <c r="M49" s="233"/>
      <c r="N49" s="233"/>
      <c r="V49" s="223" t="s">
        <v>330</v>
      </c>
      <c r="W49" s="224"/>
      <c r="X49" s="225"/>
    </row>
    <row r="50" spans="1:24" ht="14.25" x14ac:dyDescent="0.2">
      <c r="A50" s="3"/>
      <c r="B50" s="233" t="s">
        <v>316</v>
      </c>
      <c r="C50" s="233"/>
      <c r="D50" s="233"/>
      <c r="L50" s="233"/>
      <c r="M50" s="233"/>
      <c r="N50" s="233"/>
      <c r="V50" s="233"/>
      <c r="W50" s="233"/>
      <c r="X50" s="233"/>
    </row>
    <row r="51" spans="1:24" ht="14.25" x14ac:dyDescent="0.2">
      <c r="A51" s="3"/>
    </row>
    <row r="52" spans="1:24" ht="14.25" x14ac:dyDescent="0.2">
      <c r="A52" s="3"/>
    </row>
    <row r="53" spans="1:24" ht="14.25" x14ac:dyDescent="0.2">
      <c r="A53" s="3"/>
    </row>
    <row r="54" spans="1:24" ht="14.25" x14ac:dyDescent="0.2">
      <c r="A54" s="3"/>
    </row>
    <row r="55" spans="1:24" x14ac:dyDescent="0.15">
      <c r="A55" s="155"/>
      <c r="B55" s="156"/>
      <c r="C55" s="156"/>
      <c r="D55" s="156"/>
    </row>
    <row r="56" spans="1:24" x14ac:dyDescent="0.15">
      <c r="A56" s="155"/>
      <c r="B56" s="156"/>
      <c r="C56" s="156"/>
      <c r="D56" s="156"/>
    </row>
    <row r="57" spans="1:24" x14ac:dyDescent="0.15">
      <c r="A57" s="155"/>
      <c r="B57" s="156"/>
      <c r="C57" s="156"/>
      <c r="D57" s="156"/>
    </row>
    <row r="58" spans="1:24" x14ac:dyDescent="0.15">
      <c r="A58" s="155"/>
      <c r="B58" s="156"/>
      <c r="C58" s="156"/>
      <c r="D58" s="156"/>
    </row>
    <row r="59" spans="1:24" ht="14.25" x14ac:dyDescent="0.2">
      <c r="A59" s="3"/>
    </row>
    <row r="60" spans="1:24" ht="14.25" x14ac:dyDescent="0.2">
      <c r="A60" s="3"/>
    </row>
  </sheetData>
  <mergeCells count="43">
    <mergeCell ref="A1:C1"/>
    <mergeCell ref="B2:D2"/>
    <mergeCell ref="B3:D3"/>
    <mergeCell ref="B50:D50"/>
    <mergeCell ref="B46:D46"/>
    <mergeCell ref="B47:D47"/>
    <mergeCell ref="B48:D48"/>
    <mergeCell ref="B49:D49"/>
    <mergeCell ref="C13:D13"/>
    <mergeCell ref="B10:F10"/>
    <mergeCell ref="B8:F8"/>
    <mergeCell ref="B9:F9"/>
    <mergeCell ref="L2:N2"/>
    <mergeCell ref="L3:N3"/>
    <mergeCell ref="B5:F5"/>
    <mergeCell ref="B6:F6"/>
    <mergeCell ref="B7:F7"/>
    <mergeCell ref="L5:P5"/>
    <mergeCell ref="L6:P6"/>
    <mergeCell ref="L7:P7"/>
    <mergeCell ref="L8:P8"/>
    <mergeCell ref="L9:P9"/>
    <mergeCell ref="V8:Z8"/>
    <mergeCell ref="V9:Z9"/>
    <mergeCell ref="V10:Z10"/>
    <mergeCell ref="L10:P10"/>
    <mergeCell ref="L49:N49"/>
    <mergeCell ref="L50:N50"/>
    <mergeCell ref="W13:X13"/>
    <mergeCell ref="V50:X50"/>
    <mergeCell ref="V46:X46"/>
    <mergeCell ref="V47:X47"/>
    <mergeCell ref="V48:X48"/>
    <mergeCell ref="V49:X49"/>
    <mergeCell ref="M13:N13"/>
    <mergeCell ref="L46:N46"/>
    <mergeCell ref="L47:N47"/>
    <mergeCell ref="L48:N48"/>
    <mergeCell ref="V2:X2"/>
    <mergeCell ref="V3:X3"/>
    <mergeCell ref="V5:Z5"/>
    <mergeCell ref="V6:Z6"/>
    <mergeCell ref="V7:Z7"/>
  </mergeCells>
  <pageMargins left="0.75" right="0.75" top="1" bottom="1" header="0.5" footer="0.5"/>
  <pageSetup paperSize="5" scale="78" orientation="portrait" r:id="rId1"/>
  <headerFooter alignWithMargins="0">
    <oddHeader>&amp;LAppendix A - GSS-MU-07-259-RP Pricing Grid DOC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N83"/>
  <sheetViews>
    <sheetView topLeftCell="A29" zoomScaleNormal="100" workbookViewId="0">
      <selection activeCell="A14" sqref="A14:A63"/>
    </sheetView>
  </sheetViews>
  <sheetFormatPr defaultColWidth="8.75" defaultRowHeight="15" x14ac:dyDescent="0.25"/>
  <cols>
    <col min="1" max="1" width="4.625" style="51" customWidth="1"/>
    <col min="2" max="2" width="66.375" style="51" customWidth="1"/>
    <col min="3" max="3" width="10.125" style="51" customWidth="1"/>
    <col min="4" max="4" width="10.75" style="51" customWidth="1"/>
    <col min="5" max="5" width="8.75" style="51"/>
    <col min="6" max="6" width="64.25" style="51" bestFit="1" customWidth="1"/>
    <col min="7" max="7" width="13.375" style="51" customWidth="1"/>
    <col min="8" max="8" width="7.625" style="51" customWidth="1"/>
    <col min="9" max="9" width="8.75" style="51" customWidth="1"/>
    <col min="10" max="10" width="62.25" style="51" customWidth="1"/>
    <col min="11" max="11" width="8.75" style="51" customWidth="1"/>
    <col min="12" max="12" width="9" style="51" customWidth="1"/>
    <col min="13" max="14" width="8.75" style="51" hidden="1" customWidth="1"/>
    <col min="15" max="16384" width="8.75" style="51"/>
  </cols>
  <sheetData>
    <row r="1" spans="1:14" x14ac:dyDescent="0.25">
      <c r="B1" s="52"/>
    </row>
    <row r="2" spans="1:14" x14ac:dyDescent="0.25">
      <c r="B2" s="53" t="s">
        <v>209</v>
      </c>
    </row>
    <row r="4" spans="1:14" x14ac:dyDescent="0.25">
      <c r="B4" s="54" t="s">
        <v>265</v>
      </c>
    </row>
    <row r="5" spans="1:14" x14ac:dyDescent="0.25">
      <c r="B5" s="54"/>
    </row>
    <row r="6" spans="1:14" x14ac:dyDescent="0.25">
      <c r="B6" s="153" t="s">
        <v>308</v>
      </c>
      <c r="C6" s="162"/>
      <c r="D6" s="154"/>
      <c r="F6" s="153" t="s">
        <v>309</v>
      </c>
      <c r="G6" s="162"/>
      <c r="H6" s="154"/>
      <c r="J6" s="152" t="s">
        <v>426</v>
      </c>
      <c r="K6" s="169"/>
      <c r="L6" s="169"/>
      <c r="M6" s="167"/>
      <c r="N6" s="167"/>
    </row>
    <row r="7" spans="1:14" x14ac:dyDescent="0.25">
      <c r="B7" s="153" t="s">
        <v>433</v>
      </c>
      <c r="C7" s="162"/>
      <c r="D7" s="154"/>
      <c r="F7" s="153" t="s">
        <v>421</v>
      </c>
      <c r="G7" s="162"/>
      <c r="H7" s="154"/>
      <c r="J7" s="152" t="s">
        <v>427</v>
      </c>
      <c r="K7" s="169"/>
      <c r="L7" s="169"/>
      <c r="M7" s="167"/>
      <c r="N7" s="167"/>
    </row>
    <row r="8" spans="1:14" x14ac:dyDescent="0.25">
      <c r="B8" s="153" t="s">
        <v>413</v>
      </c>
      <c r="C8" s="162"/>
      <c r="D8" s="154"/>
      <c r="F8" s="153" t="s">
        <v>422</v>
      </c>
      <c r="G8" s="162"/>
      <c r="H8" s="154"/>
      <c r="J8" s="152" t="s">
        <v>432</v>
      </c>
      <c r="K8" s="169"/>
      <c r="L8" s="169"/>
      <c r="M8" s="167"/>
      <c r="N8" s="167"/>
    </row>
    <row r="9" spans="1:14" x14ac:dyDescent="0.25">
      <c r="B9" s="153" t="s">
        <v>410</v>
      </c>
      <c r="C9" s="162"/>
      <c r="D9" s="154"/>
      <c r="F9" s="153" t="s">
        <v>423</v>
      </c>
      <c r="G9" s="162"/>
      <c r="H9" s="154"/>
      <c r="J9" s="152" t="s">
        <v>429</v>
      </c>
      <c r="K9" s="169"/>
      <c r="L9" s="169"/>
      <c r="M9" s="167"/>
      <c r="N9" s="167"/>
    </row>
    <row r="10" spans="1:14" x14ac:dyDescent="0.25">
      <c r="B10" s="153" t="s">
        <v>411</v>
      </c>
      <c r="C10" s="162"/>
      <c r="D10" s="154"/>
      <c r="F10" s="153" t="s">
        <v>419</v>
      </c>
      <c r="G10" s="162"/>
      <c r="H10" s="154"/>
      <c r="J10" s="163" t="s">
        <v>430</v>
      </c>
      <c r="K10" s="170"/>
      <c r="L10" s="170"/>
      <c r="M10" s="168"/>
      <c r="N10" s="168"/>
    </row>
    <row r="11" spans="1:14" x14ac:dyDescent="0.25">
      <c r="B11" s="153" t="s">
        <v>414</v>
      </c>
      <c r="C11" s="162"/>
      <c r="D11" s="154"/>
      <c r="F11" s="153" t="s">
        <v>424</v>
      </c>
      <c r="G11" s="162"/>
      <c r="H11" s="154"/>
      <c r="J11" s="152" t="s">
        <v>431</v>
      </c>
      <c r="K11" s="169"/>
      <c r="L11" s="169"/>
      <c r="M11" s="167"/>
      <c r="N11" s="167"/>
    </row>
    <row r="12" spans="1:14" x14ac:dyDescent="0.25">
      <c r="B12" s="58" t="s">
        <v>217</v>
      </c>
      <c r="C12" s="59"/>
      <c r="D12" s="52"/>
      <c r="F12" s="58" t="s">
        <v>217</v>
      </c>
      <c r="G12" s="59"/>
      <c r="H12" s="52"/>
      <c r="I12" s="51" t="s">
        <v>292</v>
      </c>
      <c r="J12" s="164" t="s">
        <v>217</v>
      </c>
      <c r="K12" s="165"/>
      <c r="L12" s="166" t="s">
        <v>292</v>
      </c>
    </row>
    <row r="13" spans="1:14" ht="30" x14ac:dyDescent="0.25">
      <c r="B13" s="57" t="s">
        <v>218</v>
      </c>
      <c r="C13" s="60" t="s">
        <v>219</v>
      </c>
      <c r="D13" s="57" t="s">
        <v>220</v>
      </c>
      <c r="F13" s="57" t="s">
        <v>218</v>
      </c>
      <c r="G13" s="60" t="s">
        <v>219</v>
      </c>
      <c r="H13" s="57" t="s">
        <v>220</v>
      </c>
      <c r="J13" s="57" t="s">
        <v>218</v>
      </c>
      <c r="K13" s="60" t="s">
        <v>219</v>
      </c>
      <c r="L13" s="57" t="s">
        <v>220</v>
      </c>
    </row>
    <row r="14" spans="1:14" x14ac:dyDescent="0.25">
      <c r="A14" s="51">
        <v>1</v>
      </c>
      <c r="B14" s="52" t="s">
        <v>221</v>
      </c>
      <c r="C14" s="63" t="s">
        <v>319</v>
      </c>
      <c r="D14" s="63" t="s">
        <v>319</v>
      </c>
      <c r="F14" s="52" t="s">
        <v>221</v>
      </c>
      <c r="G14" s="112">
        <v>2.17</v>
      </c>
      <c r="H14" s="113">
        <v>5.04</v>
      </c>
      <c r="J14" s="52" t="s">
        <v>221</v>
      </c>
      <c r="K14" s="125">
        <v>3</v>
      </c>
      <c r="L14" s="128">
        <v>33</v>
      </c>
    </row>
    <row r="15" spans="1:14" x14ac:dyDescent="0.25">
      <c r="A15" s="51">
        <v>2</v>
      </c>
      <c r="B15" s="52" t="s">
        <v>222</v>
      </c>
      <c r="C15" s="63" t="s">
        <v>319</v>
      </c>
      <c r="D15" s="63" t="s">
        <v>319</v>
      </c>
      <c r="F15" s="52" t="s">
        <v>222</v>
      </c>
      <c r="G15" s="112">
        <v>2.17</v>
      </c>
      <c r="H15" s="113">
        <v>5.04</v>
      </c>
      <c r="J15" s="52" t="s">
        <v>222</v>
      </c>
      <c r="K15" s="128">
        <v>3</v>
      </c>
      <c r="L15" s="128">
        <v>27</v>
      </c>
    </row>
    <row r="16" spans="1:14" x14ac:dyDescent="0.25">
      <c r="A16" s="51">
        <v>3</v>
      </c>
      <c r="B16" s="52" t="s">
        <v>223</v>
      </c>
      <c r="C16" s="63" t="s">
        <v>319</v>
      </c>
      <c r="D16" s="63" t="s">
        <v>319</v>
      </c>
      <c r="F16" s="52" t="s">
        <v>223</v>
      </c>
      <c r="G16" s="112">
        <v>2.17</v>
      </c>
      <c r="H16" s="113">
        <v>7.06</v>
      </c>
      <c r="J16" s="52" t="s">
        <v>223</v>
      </c>
      <c r="K16" s="128">
        <v>3</v>
      </c>
      <c r="L16" s="128">
        <v>29</v>
      </c>
    </row>
    <row r="17" spans="1:12" x14ac:dyDescent="0.25">
      <c r="A17" s="51">
        <v>4</v>
      </c>
      <c r="B17" s="52" t="s">
        <v>224</v>
      </c>
      <c r="C17" s="63" t="s">
        <v>319</v>
      </c>
      <c r="D17" s="63" t="s">
        <v>319</v>
      </c>
      <c r="F17" s="52" t="s">
        <v>224</v>
      </c>
      <c r="G17" s="112">
        <v>2.17</v>
      </c>
      <c r="H17" s="113">
        <v>8.07</v>
      </c>
      <c r="J17" s="52" t="s">
        <v>224</v>
      </c>
      <c r="K17" s="128">
        <v>3</v>
      </c>
      <c r="L17" s="128">
        <v>34</v>
      </c>
    </row>
    <row r="18" spans="1:12" x14ac:dyDescent="0.25">
      <c r="A18" s="51">
        <v>5</v>
      </c>
      <c r="B18" s="61" t="s">
        <v>225</v>
      </c>
      <c r="C18" s="63" t="s">
        <v>319</v>
      </c>
      <c r="D18" s="63" t="s">
        <v>319</v>
      </c>
      <c r="F18" s="61" t="s">
        <v>225</v>
      </c>
      <c r="G18" s="112">
        <v>2.17</v>
      </c>
      <c r="H18" s="113">
        <v>12.1</v>
      </c>
      <c r="J18" s="61" t="s">
        <v>225</v>
      </c>
      <c r="K18" s="128">
        <v>3</v>
      </c>
      <c r="L18" s="128">
        <v>42</v>
      </c>
    </row>
    <row r="19" spans="1:12" ht="30" x14ac:dyDescent="0.25">
      <c r="A19" s="51">
        <v>6</v>
      </c>
      <c r="B19" s="53" t="s">
        <v>226</v>
      </c>
      <c r="C19" s="63" t="s">
        <v>319</v>
      </c>
      <c r="D19" s="63" t="s">
        <v>319</v>
      </c>
      <c r="F19" s="53" t="s">
        <v>226</v>
      </c>
      <c r="G19" s="112">
        <v>2.17</v>
      </c>
      <c r="H19" s="113">
        <v>5.04</v>
      </c>
      <c r="J19" s="53" t="s">
        <v>226</v>
      </c>
      <c r="K19" s="128">
        <v>3</v>
      </c>
      <c r="L19" s="128">
        <v>27</v>
      </c>
    </row>
    <row r="20" spans="1:12" ht="30" x14ac:dyDescent="0.25">
      <c r="A20" s="51">
        <v>7</v>
      </c>
      <c r="B20" s="53" t="s">
        <v>275</v>
      </c>
      <c r="C20" s="63" t="s">
        <v>319</v>
      </c>
      <c r="D20" s="63" t="s">
        <v>319</v>
      </c>
      <c r="F20" s="53" t="s">
        <v>275</v>
      </c>
      <c r="G20" s="112">
        <v>2.17</v>
      </c>
      <c r="H20" s="113">
        <v>7.06</v>
      </c>
      <c r="J20" s="53" t="s">
        <v>275</v>
      </c>
      <c r="K20" s="128">
        <v>3</v>
      </c>
      <c r="L20" s="128">
        <v>29</v>
      </c>
    </row>
    <row r="21" spans="1:12" ht="30" x14ac:dyDescent="0.25">
      <c r="A21" s="51">
        <v>8</v>
      </c>
      <c r="B21" s="53" t="s">
        <v>274</v>
      </c>
      <c r="C21" s="63" t="s">
        <v>319</v>
      </c>
      <c r="D21" s="63" t="s">
        <v>319</v>
      </c>
      <c r="F21" s="53" t="s">
        <v>274</v>
      </c>
      <c r="G21" s="112">
        <v>2.17</v>
      </c>
      <c r="H21" s="113">
        <v>8.07</v>
      </c>
      <c r="J21" s="53" t="s">
        <v>274</v>
      </c>
      <c r="K21" s="128">
        <v>3</v>
      </c>
      <c r="L21" s="128">
        <v>34</v>
      </c>
    </row>
    <row r="22" spans="1:12" x14ac:dyDescent="0.25">
      <c r="A22" s="51">
        <v>9</v>
      </c>
      <c r="B22" s="53" t="s">
        <v>227</v>
      </c>
      <c r="C22" s="63" t="s">
        <v>319</v>
      </c>
      <c r="D22" s="63" t="s">
        <v>319</v>
      </c>
      <c r="F22" s="53" t="s">
        <v>227</v>
      </c>
      <c r="G22" s="112">
        <v>2.17</v>
      </c>
      <c r="H22" s="113">
        <v>5.04</v>
      </c>
      <c r="J22" s="53" t="s">
        <v>227</v>
      </c>
      <c r="K22" s="128">
        <v>3</v>
      </c>
      <c r="L22" s="128">
        <v>42</v>
      </c>
    </row>
    <row r="23" spans="1:12" x14ac:dyDescent="0.25">
      <c r="A23" s="51">
        <v>10</v>
      </c>
      <c r="B23" s="52" t="s">
        <v>228</v>
      </c>
      <c r="C23" s="63" t="s">
        <v>319</v>
      </c>
      <c r="D23" s="63" t="s">
        <v>319</v>
      </c>
      <c r="F23" s="52" t="s">
        <v>228</v>
      </c>
      <c r="G23" s="112">
        <v>2.17</v>
      </c>
      <c r="H23" s="113">
        <v>3.05</v>
      </c>
      <c r="J23" s="52" t="s">
        <v>228</v>
      </c>
      <c r="K23" s="128">
        <v>5</v>
      </c>
      <c r="L23" s="128">
        <v>33</v>
      </c>
    </row>
    <row r="24" spans="1:12" x14ac:dyDescent="0.25">
      <c r="A24" s="51">
        <v>11</v>
      </c>
      <c r="B24" s="52" t="s">
        <v>229</v>
      </c>
      <c r="C24" s="63" t="s">
        <v>319</v>
      </c>
      <c r="D24" s="63" t="s">
        <v>319</v>
      </c>
      <c r="F24" s="52" t="s">
        <v>229</v>
      </c>
      <c r="G24" s="112">
        <v>2.17</v>
      </c>
      <c r="H24" s="113">
        <v>4.03</v>
      </c>
      <c r="J24" s="52" t="s">
        <v>229</v>
      </c>
      <c r="K24" s="128">
        <v>5</v>
      </c>
      <c r="L24" s="128">
        <v>33</v>
      </c>
    </row>
    <row r="25" spans="1:12" x14ac:dyDescent="0.25">
      <c r="A25" s="51">
        <v>12</v>
      </c>
      <c r="B25" s="52" t="s">
        <v>230</v>
      </c>
      <c r="C25" s="63" t="s">
        <v>319</v>
      </c>
      <c r="D25" s="63" t="s">
        <v>319</v>
      </c>
      <c r="F25" s="52" t="s">
        <v>230</v>
      </c>
      <c r="G25" s="112">
        <v>2.17</v>
      </c>
      <c r="H25" s="113">
        <v>7.06</v>
      </c>
      <c r="J25" s="52" t="s">
        <v>230</v>
      </c>
      <c r="K25" s="128">
        <v>5</v>
      </c>
      <c r="L25" s="128">
        <v>42</v>
      </c>
    </row>
    <row r="26" spans="1:12" x14ac:dyDescent="0.25">
      <c r="A26" s="51">
        <v>13</v>
      </c>
      <c r="B26" s="52" t="s">
        <v>231</v>
      </c>
      <c r="C26" s="63" t="s">
        <v>319</v>
      </c>
      <c r="D26" s="63" t="s">
        <v>319</v>
      </c>
      <c r="F26" s="52" t="s">
        <v>231</v>
      </c>
      <c r="G26" s="112">
        <v>2.17</v>
      </c>
      <c r="H26" s="113">
        <v>8.07</v>
      </c>
      <c r="J26" s="52" t="s">
        <v>231</v>
      </c>
      <c r="K26" s="128">
        <v>5</v>
      </c>
      <c r="L26" s="128">
        <v>49</v>
      </c>
    </row>
    <row r="27" spans="1:12" x14ac:dyDescent="0.25">
      <c r="A27" s="51">
        <v>14</v>
      </c>
      <c r="B27" s="52" t="s">
        <v>232</v>
      </c>
      <c r="C27" s="63" t="s">
        <v>319</v>
      </c>
      <c r="D27" s="63" t="s">
        <v>319</v>
      </c>
      <c r="F27" s="52" t="s">
        <v>232</v>
      </c>
      <c r="G27" s="112">
        <v>2.17</v>
      </c>
      <c r="H27" s="113">
        <v>7.06</v>
      </c>
      <c r="J27" s="52" t="s">
        <v>232</v>
      </c>
      <c r="K27" s="128">
        <v>5</v>
      </c>
      <c r="L27" s="128">
        <v>51</v>
      </c>
    </row>
    <row r="28" spans="1:12" x14ac:dyDescent="0.25">
      <c r="A28" s="51">
        <v>15</v>
      </c>
      <c r="B28" s="52" t="s">
        <v>233</v>
      </c>
      <c r="C28" s="63" t="s">
        <v>319</v>
      </c>
      <c r="D28" s="63" t="s">
        <v>319</v>
      </c>
      <c r="F28" s="52" t="s">
        <v>233</v>
      </c>
      <c r="G28" s="112">
        <v>2.17</v>
      </c>
      <c r="H28" s="113">
        <v>25.21</v>
      </c>
      <c r="J28" s="52" t="s">
        <v>233</v>
      </c>
      <c r="K28" s="128">
        <v>5</v>
      </c>
      <c r="L28" s="128">
        <v>85</v>
      </c>
    </row>
    <row r="29" spans="1:12" x14ac:dyDescent="0.25">
      <c r="A29" s="51">
        <v>16</v>
      </c>
      <c r="B29" s="52" t="s">
        <v>234</v>
      </c>
      <c r="C29" s="63" t="s">
        <v>319</v>
      </c>
      <c r="D29" s="63" t="s">
        <v>319</v>
      </c>
      <c r="F29" s="52" t="s">
        <v>234</v>
      </c>
      <c r="G29" s="112">
        <v>2.17</v>
      </c>
      <c r="H29" s="113">
        <v>10.08</v>
      </c>
      <c r="J29" s="52" t="s">
        <v>234</v>
      </c>
      <c r="K29" s="128">
        <v>3</v>
      </c>
      <c r="L29" s="128" t="s">
        <v>319</v>
      </c>
    </row>
    <row r="30" spans="1:12" x14ac:dyDescent="0.25">
      <c r="A30" s="51">
        <v>17</v>
      </c>
      <c r="B30" s="52" t="s">
        <v>235</v>
      </c>
      <c r="C30" s="63" t="s">
        <v>319</v>
      </c>
      <c r="D30" s="63" t="s">
        <v>319</v>
      </c>
      <c r="F30" s="52" t="s">
        <v>235</v>
      </c>
      <c r="G30" s="112">
        <v>2.17</v>
      </c>
      <c r="H30" s="113">
        <v>11.34</v>
      </c>
      <c r="J30" s="52" t="s">
        <v>235</v>
      </c>
      <c r="K30" s="128">
        <v>3</v>
      </c>
      <c r="L30" s="128" t="s">
        <v>319</v>
      </c>
    </row>
    <row r="31" spans="1:12" x14ac:dyDescent="0.25">
      <c r="A31" s="51">
        <v>18</v>
      </c>
      <c r="B31" s="52" t="s">
        <v>236</v>
      </c>
      <c r="C31" s="63" t="s">
        <v>319</v>
      </c>
      <c r="D31" s="63" t="s">
        <v>319</v>
      </c>
      <c r="F31" s="52" t="s">
        <v>236</v>
      </c>
      <c r="G31" s="112">
        <v>2.17</v>
      </c>
      <c r="H31" s="113">
        <v>13.61</v>
      </c>
      <c r="J31" s="52" t="s">
        <v>236</v>
      </c>
      <c r="K31" s="128">
        <v>3</v>
      </c>
      <c r="L31" s="128" t="s">
        <v>319</v>
      </c>
    </row>
    <row r="32" spans="1:12" x14ac:dyDescent="0.25">
      <c r="A32" s="51">
        <v>19</v>
      </c>
      <c r="B32" s="52" t="s">
        <v>237</v>
      </c>
      <c r="C32" s="63" t="s">
        <v>319</v>
      </c>
      <c r="D32" s="63" t="s">
        <v>319</v>
      </c>
      <c r="F32" s="52" t="s">
        <v>237</v>
      </c>
      <c r="G32" s="112">
        <v>2.17</v>
      </c>
      <c r="H32" s="113">
        <v>13.61</v>
      </c>
      <c r="J32" s="52" t="s">
        <v>237</v>
      </c>
      <c r="K32" s="128">
        <v>3</v>
      </c>
      <c r="L32" s="128" t="s">
        <v>319</v>
      </c>
    </row>
    <row r="33" spans="1:12" x14ac:dyDescent="0.25">
      <c r="A33" s="51">
        <v>20</v>
      </c>
      <c r="B33" s="61" t="s">
        <v>238</v>
      </c>
      <c r="C33" s="63" t="s">
        <v>319</v>
      </c>
      <c r="D33" s="63" t="s">
        <v>319</v>
      </c>
      <c r="F33" s="61" t="s">
        <v>238</v>
      </c>
      <c r="G33" s="112">
        <v>2.17</v>
      </c>
      <c r="H33" s="113">
        <v>13.61</v>
      </c>
      <c r="J33" s="61" t="s">
        <v>238</v>
      </c>
      <c r="K33" s="128">
        <v>3</v>
      </c>
      <c r="L33" s="128" t="s">
        <v>319</v>
      </c>
    </row>
    <row r="34" spans="1:12" x14ac:dyDescent="0.25">
      <c r="A34" s="51">
        <v>21</v>
      </c>
      <c r="B34" s="52" t="s">
        <v>239</v>
      </c>
      <c r="C34" s="63" t="s">
        <v>319</v>
      </c>
      <c r="D34" s="63" t="s">
        <v>319</v>
      </c>
      <c r="F34" s="52" t="s">
        <v>239</v>
      </c>
      <c r="G34" s="112">
        <v>2.17</v>
      </c>
      <c r="H34" s="113">
        <v>17.14</v>
      </c>
      <c r="J34" s="52" t="s">
        <v>239</v>
      </c>
      <c r="K34" s="128">
        <v>3</v>
      </c>
      <c r="L34" s="128" t="s">
        <v>319</v>
      </c>
    </row>
    <row r="35" spans="1:12" x14ac:dyDescent="0.25">
      <c r="A35" s="51">
        <v>22</v>
      </c>
      <c r="B35" s="52" t="s">
        <v>240</v>
      </c>
      <c r="C35" s="63" t="s">
        <v>319</v>
      </c>
      <c r="D35" s="63" t="s">
        <v>319</v>
      </c>
      <c r="F35" s="52" t="s">
        <v>240</v>
      </c>
      <c r="G35" s="113">
        <v>75</v>
      </c>
      <c r="H35" s="113">
        <v>35.29</v>
      </c>
      <c r="J35" s="52" t="s">
        <v>240</v>
      </c>
      <c r="K35" s="128">
        <v>125</v>
      </c>
      <c r="L35" s="128">
        <v>500</v>
      </c>
    </row>
    <row r="36" spans="1:12" x14ac:dyDescent="0.25">
      <c r="A36" s="51">
        <v>23</v>
      </c>
      <c r="B36" s="52" t="s">
        <v>241</v>
      </c>
      <c r="C36" s="63" t="s">
        <v>319</v>
      </c>
      <c r="D36" s="63" t="s">
        <v>319</v>
      </c>
      <c r="F36" s="52" t="s">
        <v>241</v>
      </c>
      <c r="G36" s="113">
        <v>75</v>
      </c>
      <c r="H36" s="113">
        <v>55.45</v>
      </c>
      <c r="J36" s="52" t="s">
        <v>241</v>
      </c>
      <c r="K36" s="128">
        <v>125</v>
      </c>
      <c r="L36" s="128">
        <v>500</v>
      </c>
    </row>
    <row r="37" spans="1:12" x14ac:dyDescent="0.25">
      <c r="A37" s="51">
        <v>24</v>
      </c>
      <c r="B37" s="52" t="s">
        <v>242</v>
      </c>
      <c r="C37" s="63" t="s">
        <v>319</v>
      </c>
      <c r="D37" s="63" t="s">
        <v>319</v>
      </c>
      <c r="F37" s="52" t="s">
        <v>242</v>
      </c>
      <c r="G37" s="113">
        <v>25</v>
      </c>
      <c r="H37" s="113">
        <v>35.29</v>
      </c>
      <c r="J37" s="52" t="s">
        <v>242</v>
      </c>
      <c r="K37" s="128">
        <v>75</v>
      </c>
      <c r="L37" s="128" t="s">
        <v>319</v>
      </c>
    </row>
    <row r="38" spans="1:12" x14ac:dyDescent="0.25">
      <c r="A38" s="51">
        <v>25</v>
      </c>
      <c r="B38" s="52" t="s">
        <v>243</v>
      </c>
      <c r="C38" s="63" t="s">
        <v>319</v>
      </c>
      <c r="D38" s="63" t="s">
        <v>319</v>
      </c>
      <c r="F38" s="52" t="s">
        <v>243</v>
      </c>
      <c r="G38" s="113">
        <v>45</v>
      </c>
      <c r="H38" s="113">
        <v>45.37</v>
      </c>
      <c r="J38" s="52" t="s">
        <v>243</v>
      </c>
      <c r="K38" s="128">
        <v>75</v>
      </c>
      <c r="L38" s="128" t="s">
        <v>319</v>
      </c>
    </row>
    <row r="39" spans="1:12" x14ac:dyDescent="0.25">
      <c r="A39" s="51">
        <v>26</v>
      </c>
      <c r="B39" s="52" t="s">
        <v>244</v>
      </c>
      <c r="C39" s="63" t="s">
        <v>319</v>
      </c>
      <c r="D39" s="63" t="s">
        <v>319</v>
      </c>
      <c r="F39" s="52" t="s">
        <v>244</v>
      </c>
      <c r="G39" s="113">
        <v>7.06</v>
      </c>
      <c r="H39" s="148" t="s">
        <v>319</v>
      </c>
      <c r="J39" s="52" t="s">
        <v>244</v>
      </c>
      <c r="K39" s="128">
        <v>33</v>
      </c>
      <c r="L39" s="128" t="s">
        <v>319</v>
      </c>
    </row>
    <row r="40" spans="1:12" x14ac:dyDescent="0.25">
      <c r="A40" s="51">
        <v>27</v>
      </c>
      <c r="B40" s="61" t="s">
        <v>245</v>
      </c>
      <c r="C40" s="63" t="s">
        <v>319</v>
      </c>
      <c r="D40" s="63" t="s">
        <v>319</v>
      </c>
      <c r="F40" s="61" t="s">
        <v>245</v>
      </c>
      <c r="G40" s="113">
        <v>5.04</v>
      </c>
      <c r="H40" s="148" t="s">
        <v>319</v>
      </c>
      <c r="J40" s="61" t="s">
        <v>245</v>
      </c>
      <c r="K40" s="128">
        <v>29</v>
      </c>
      <c r="L40" s="128" t="s">
        <v>319</v>
      </c>
    </row>
    <row r="41" spans="1:12" x14ac:dyDescent="0.25">
      <c r="A41" s="51">
        <v>28</v>
      </c>
      <c r="B41" s="61" t="s">
        <v>246</v>
      </c>
      <c r="C41" s="63" t="s">
        <v>319</v>
      </c>
      <c r="D41" s="63" t="s">
        <v>319</v>
      </c>
      <c r="F41" s="61" t="s">
        <v>246</v>
      </c>
      <c r="G41" s="113">
        <v>7.06</v>
      </c>
      <c r="H41" s="148" t="s">
        <v>319</v>
      </c>
      <c r="J41" s="61" t="s">
        <v>246</v>
      </c>
      <c r="K41" s="128">
        <v>34</v>
      </c>
      <c r="L41" s="128" t="s">
        <v>319</v>
      </c>
    </row>
    <row r="42" spans="1:12" x14ac:dyDescent="0.25">
      <c r="A42" s="51">
        <v>29</v>
      </c>
      <c r="B42" s="61" t="s">
        <v>247</v>
      </c>
      <c r="C42" s="63" t="s">
        <v>319</v>
      </c>
      <c r="D42" s="63" t="s">
        <v>319</v>
      </c>
      <c r="F42" s="61" t="s">
        <v>247</v>
      </c>
      <c r="G42" s="113">
        <v>7.06</v>
      </c>
      <c r="H42" s="148" t="s">
        <v>319</v>
      </c>
      <c r="J42" s="61" t="s">
        <v>247</v>
      </c>
      <c r="K42" s="128">
        <v>42</v>
      </c>
      <c r="L42" s="128" t="s">
        <v>319</v>
      </c>
    </row>
    <row r="43" spans="1:12" ht="29.45" customHeight="1" x14ac:dyDescent="0.25">
      <c r="A43" s="51">
        <v>30</v>
      </c>
      <c r="B43" s="62" t="s">
        <v>248</v>
      </c>
      <c r="C43" s="63" t="s">
        <v>319</v>
      </c>
      <c r="D43" s="63" t="s">
        <v>319</v>
      </c>
      <c r="F43" s="62" t="s">
        <v>248</v>
      </c>
      <c r="G43" s="113">
        <v>5.04</v>
      </c>
      <c r="H43" s="148" t="s">
        <v>319</v>
      </c>
      <c r="J43" s="62" t="s">
        <v>248</v>
      </c>
      <c r="K43" s="128">
        <v>27</v>
      </c>
      <c r="L43" s="128" t="s">
        <v>319</v>
      </c>
    </row>
    <row r="44" spans="1:12" ht="23.45" customHeight="1" x14ac:dyDescent="0.25">
      <c r="A44" s="51">
        <v>31</v>
      </c>
      <c r="B44" s="62" t="s">
        <v>249</v>
      </c>
      <c r="C44" s="63" t="s">
        <v>319</v>
      </c>
      <c r="D44" s="63" t="s">
        <v>319</v>
      </c>
      <c r="F44" s="62" t="s">
        <v>249</v>
      </c>
      <c r="G44" s="113">
        <v>5.04</v>
      </c>
      <c r="H44" s="148" t="s">
        <v>319</v>
      </c>
      <c r="J44" s="62" t="s">
        <v>249</v>
      </c>
      <c r="K44" s="128">
        <v>29</v>
      </c>
      <c r="L44" s="128" t="s">
        <v>319</v>
      </c>
    </row>
    <row r="45" spans="1:12" ht="18.95" customHeight="1" x14ac:dyDescent="0.25">
      <c r="A45" s="51">
        <v>32</v>
      </c>
      <c r="B45" s="62" t="s">
        <v>250</v>
      </c>
      <c r="C45" s="63" t="s">
        <v>319</v>
      </c>
      <c r="D45" s="63" t="s">
        <v>319</v>
      </c>
      <c r="F45" s="62" t="s">
        <v>250</v>
      </c>
      <c r="G45" s="113">
        <v>7.06</v>
      </c>
      <c r="H45" s="148" t="s">
        <v>319</v>
      </c>
      <c r="J45" s="62" t="s">
        <v>250</v>
      </c>
      <c r="K45" s="128">
        <v>34</v>
      </c>
      <c r="L45" s="128" t="s">
        <v>319</v>
      </c>
    </row>
    <row r="46" spans="1:12" x14ac:dyDescent="0.25">
      <c r="A46" s="51">
        <v>33</v>
      </c>
      <c r="B46" s="61" t="s">
        <v>251</v>
      </c>
      <c r="C46" s="63" t="s">
        <v>319</v>
      </c>
      <c r="D46" s="63" t="s">
        <v>319</v>
      </c>
      <c r="F46" s="61" t="s">
        <v>251</v>
      </c>
      <c r="G46" s="113">
        <v>7.06</v>
      </c>
      <c r="H46" s="148" t="s">
        <v>319</v>
      </c>
      <c r="J46" s="61" t="s">
        <v>251</v>
      </c>
      <c r="K46" s="128">
        <v>42</v>
      </c>
      <c r="L46" s="128" t="s">
        <v>319</v>
      </c>
    </row>
    <row r="47" spans="1:12" x14ac:dyDescent="0.25">
      <c r="A47" s="51">
        <v>34</v>
      </c>
      <c r="B47" s="61" t="s">
        <v>252</v>
      </c>
      <c r="C47" s="63" t="s">
        <v>319</v>
      </c>
      <c r="D47" s="63" t="s">
        <v>319</v>
      </c>
      <c r="F47" s="61" t="s">
        <v>252</v>
      </c>
      <c r="G47" s="113">
        <v>5.04</v>
      </c>
      <c r="H47" s="148" t="s">
        <v>319</v>
      </c>
      <c r="J47" s="61" t="s">
        <v>252</v>
      </c>
      <c r="K47" s="128">
        <v>33</v>
      </c>
      <c r="L47" s="128" t="s">
        <v>319</v>
      </c>
    </row>
    <row r="48" spans="1:12" x14ac:dyDescent="0.25">
      <c r="A48" s="51">
        <v>35</v>
      </c>
      <c r="B48" s="61" t="s">
        <v>229</v>
      </c>
      <c r="C48" s="63" t="s">
        <v>319</v>
      </c>
      <c r="D48" s="63" t="s">
        <v>319</v>
      </c>
      <c r="F48" s="61" t="s">
        <v>229</v>
      </c>
      <c r="G48" s="113">
        <v>7.06</v>
      </c>
      <c r="H48" s="148" t="s">
        <v>319</v>
      </c>
      <c r="J48" s="61" t="s">
        <v>229</v>
      </c>
      <c r="K48" s="128">
        <v>33</v>
      </c>
      <c r="L48" s="128" t="s">
        <v>319</v>
      </c>
    </row>
    <row r="49" spans="1:12" x14ac:dyDescent="0.25">
      <c r="A49" s="51">
        <v>36</v>
      </c>
      <c r="B49" s="61" t="s">
        <v>230</v>
      </c>
      <c r="C49" s="63" t="s">
        <v>319</v>
      </c>
      <c r="D49" s="63" t="s">
        <v>319</v>
      </c>
      <c r="F49" s="61" t="s">
        <v>230</v>
      </c>
      <c r="G49" s="113">
        <v>10.08</v>
      </c>
      <c r="H49" s="148" t="s">
        <v>319</v>
      </c>
      <c r="J49" s="61" t="s">
        <v>230</v>
      </c>
      <c r="K49" s="128">
        <v>42</v>
      </c>
      <c r="L49" s="128" t="s">
        <v>319</v>
      </c>
    </row>
    <row r="50" spans="1:12" x14ac:dyDescent="0.25">
      <c r="A50" s="51">
        <v>37</v>
      </c>
      <c r="B50" s="61" t="s">
        <v>231</v>
      </c>
      <c r="C50" s="63" t="s">
        <v>319</v>
      </c>
      <c r="D50" s="63" t="s">
        <v>319</v>
      </c>
      <c r="F50" s="61" t="s">
        <v>231</v>
      </c>
      <c r="G50" s="113">
        <v>10.08</v>
      </c>
      <c r="H50" s="148" t="s">
        <v>319</v>
      </c>
      <c r="J50" s="61" t="s">
        <v>231</v>
      </c>
      <c r="K50" s="128">
        <v>49</v>
      </c>
      <c r="L50" s="128" t="s">
        <v>319</v>
      </c>
    </row>
    <row r="51" spans="1:12" x14ac:dyDescent="0.25">
      <c r="A51" s="51">
        <v>38</v>
      </c>
      <c r="B51" s="61" t="s">
        <v>232</v>
      </c>
      <c r="C51" s="63" t="s">
        <v>319</v>
      </c>
      <c r="D51" s="63" t="s">
        <v>319</v>
      </c>
      <c r="F51" s="61" t="s">
        <v>232</v>
      </c>
      <c r="G51" s="113">
        <v>15.12</v>
      </c>
      <c r="H51" s="148" t="s">
        <v>319</v>
      </c>
      <c r="J51" s="61" t="s">
        <v>232</v>
      </c>
      <c r="K51" s="128">
        <v>51</v>
      </c>
      <c r="L51" s="128" t="s">
        <v>319</v>
      </c>
    </row>
    <row r="52" spans="1:12" x14ac:dyDescent="0.25">
      <c r="A52" s="51">
        <v>39</v>
      </c>
      <c r="B52" s="61" t="s">
        <v>233</v>
      </c>
      <c r="C52" s="63" t="s">
        <v>319</v>
      </c>
      <c r="D52" s="63" t="s">
        <v>319</v>
      </c>
      <c r="F52" s="61" t="s">
        <v>233</v>
      </c>
      <c r="G52" s="113">
        <v>35.29</v>
      </c>
      <c r="H52" s="148" t="s">
        <v>319</v>
      </c>
      <c r="J52" s="61" t="s">
        <v>233</v>
      </c>
      <c r="K52" s="128">
        <v>85</v>
      </c>
      <c r="L52" s="128" t="s">
        <v>319</v>
      </c>
    </row>
    <row r="53" spans="1:12" x14ac:dyDescent="0.25">
      <c r="A53" s="51">
        <v>40</v>
      </c>
      <c r="B53" s="61" t="s">
        <v>253</v>
      </c>
      <c r="C53" s="63" t="s">
        <v>319</v>
      </c>
      <c r="D53" s="63" t="s">
        <v>319</v>
      </c>
      <c r="F53" s="61" t="s">
        <v>253</v>
      </c>
      <c r="G53" s="113">
        <v>10.08</v>
      </c>
      <c r="H53" s="148" t="s">
        <v>319</v>
      </c>
      <c r="J53" s="61" t="s">
        <v>253</v>
      </c>
      <c r="K53" s="128" t="s">
        <v>319</v>
      </c>
      <c r="L53" s="128" t="s">
        <v>319</v>
      </c>
    </row>
    <row r="54" spans="1:12" x14ac:dyDescent="0.25">
      <c r="A54" s="51">
        <v>41</v>
      </c>
      <c r="B54" s="61" t="s">
        <v>254</v>
      </c>
      <c r="C54" s="63" t="s">
        <v>319</v>
      </c>
      <c r="D54" s="63" t="s">
        <v>319</v>
      </c>
      <c r="F54" s="61" t="s">
        <v>254</v>
      </c>
      <c r="G54" s="113">
        <v>12.1</v>
      </c>
      <c r="H54" s="148" t="s">
        <v>319</v>
      </c>
      <c r="J54" s="61" t="s">
        <v>254</v>
      </c>
      <c r="K54" s="128" t="s">
        <v>319</v>
      </c>
      <c r="L54" s="128" t="s">
        <v>319</v>
      </c>
    </row>
    <row r="55" spans="1:12" x14ac:dyDescent="0.25">
      <c r="A55" s="51">
        <v>42</v>
      </c>
      <c r="B55" s="61" t="s">
        <v>255</v>
      </c>
      <c r="C55" s="63" t="s">
        <v>319</v>
      </c>
      <c r="D55" s="63" t="s">
        <v>319</v>
      </c>
      <c r="F55" s="61" t="s">
        <v>255</v>
      </c>
      <c r="G55" s="113">
        <v>15.12</v>
      </c>
      <c r="H55" s="148" t="s">
        <v>319</v>
      </c>
      <c r="J55" s="61" t="s">
        <v>255</v>
      </c>
      <c r="K55" s="128" t="s">
        <v>319</v>
      </c>
      <c r="L55" s="128" t="s">
        <v>319</v>
      </c>
    </row>
    <row r="56" spans="1:12" x14ac:dyDescent="0.25">
      <c r="A56" s="51">
        <v>43</v>
      </c>
      <c r="B56" s="61" t="s">
        <v>256</v>
      </c>
      <c r="C56" s="63" t="s">
        <v>319</v>
      </c>
      <c r="D56" s="63" t="s">
        <v>319</v>
      </c>
      <c r="F56" s="61" t="s">
        <v>256</v>
      </c>
      <c r="G56" s="113">
        <v>15.12</v>
      </c>
      <c r="H56" s="148" t="s">
        <v>319</v>
      </c>
      <c r="J56" s="61" t="s">
        <v>256</v>
      </c>
      <c r="K56" s="128" t="s">
        <v>319</v>
      </c>
      <c r="L56" s="128" t="s">
        <v>319</v>
      </c>
    </row>
    <row r="57" spans="1:12" x14ac:dyDescent="0.25">
      <c r="A57" s="51">
        <v>44</v>
      </c>
      <c r="B57" s="61" t="s">
        <v>257</v>
      </c>
      <c r="C57" s="63" t="s">
        <v>319</v>
      </c>
      <c r="D57" s="63" t="s">
        <v>319</v>
      </c>
      <c r="F57" s="61" t="s">
        <v>257</v>
      </c>
      <c r="G57" s="113">
        <v>15.12</v>
      </c>
      <c r="H57" s="148" t="s">
        <v>319</v>
      </c>
      <c r="J57" s="61" t="s">
        <v>257</v>
      </c>
      <c r="K57" s="128" t="s">
        <v>319</v>
      </c>
      <c r="L57" s="128" t="s">
        <v>319</v>
      </c>
    </row>
    <row r="58" spans="1:12" x14ac:dyDescent="0.25">
      <c r="A58" s="51">
        <v>45</v>
      </c>
      <c r="B58" s="61" t="s">
        <v>239</v>
      </c>
      <c r="C58" s="63" t="s">
        <v>319</v>
      </c>
      <c r="D58" s="63" t="s">
        <v>319</v>
      </c>
      <c r="F58" s="61" t="s">
        <v>239</v>
      </c>
      <c r="G58" s="113">
        <v>18.149999999999999</v>
      </c>
      <c r="H58" s="148" t="s">
        <v>319</v>
      </c>
      <c r="J58" s="61" t="s">
        <v>239</v>
      </c>
      <c r="K58" s="128" t="s">
        <v>319</v>
      </c>
      <c r="L58" s="128" t="s">
        <v>319</v>
      </c>
    </row>
    <row r="59" spans="1:12" x14ac:dyDescent="0.25">
      <c r="A59" s="51">
        <v>46</v>
      </c>
      <c r="B59" s="61" t="s">
        <v>258</v>
      </c>
      <c r="C59" s="63" t="s">
        <v>319</v>
      </c>
      <c r="D59" s="63" t="s">
        <v>319</v>
      </c>
      <c r="F59" s="61" t="s">
        <v>258</v>
      </c>
      <c r="G59" s="113">
        <v>35.29</v>
      </c>
      <c r="H59" s="148" t="s">
        <v>319</v>
      </c>
      <c r="J59" s="61" t="s">
        <v>258</v>
      </c>
      <c r="K59" s="128">
        <v>500</v>
      </c>
      <c r="L59" s="128" t="s">
        <v>319</v>
      </c>
    </row>
    <row r="60" spans="1:12" x14ac:dyDescent="0.25">
      <c r="A60" s="51">
        <v>47</v>
      </c>
      <c r="B60" s="61" t="s">
        <v>259</v>
      </c>
      <c r="C60" s="63" t="s">
        <v>319</v>
      </c>
      <c r="D60" s="63" t="s">
        <v>319</v>
      </c>
      <c r="F60" s="61" t="s">
        <v>259</v>
      </c>
      <c r="G60" s="64">
        <v>2.02</v>
      </c>
      <c r="H60" s="148" t="s">
        <v>319</v>
      </c>
      <c r="J60" s="61" t="s">
        <v>259</v>
      </c>
      <c r="K60" s="128" t="s">
        <v>331</v>
      </c>
      <c r="L60" s="128" t="s">
        <v>319</v>
      </c>
    </row>
    <row r="61" spans="1:12" x14ac:dyDescent="0.25">
      <c r="A61" s="51">
        <v>48</v>
      </c>
      <c r="B61" s="61" t="s">
        <v>260</v>
      </c>
      <c r="C61" s="63" t="s">
        <v>319</v>
      </c>
      <c r="D61" s="63" t="s">
        <v>319</v>
      </c>
      <c r="F61" s="61" t="s">
        <v>260</v>
      </c>
      <c r="G61" s="64">
        <v>2.02</v>
      </c>
      <c r="H61" s="148" t="s">
        <v>319</v>
      </c>
      <c r="J61" s="61" t="s">
        <v>260</v>
      </c>
      <c r="K61" s="128" t="s">
        <v>332</v>
      </c>
      <c r="L61" s="128" t="s">
        <v>319</v>
      </c>
    </row>
    <row r="62" spans="1:12" x14ac:dyDescent="0.25">
      <c r="A62" s="51">
        <v>49</v>
      </c>
      <c r="B62" s="61" t="s">
        <v>261</v>
      </c>
      <c r="C62" s="63" t="s">
        <v>319</v>
      </c>
      <c r="D62" s="63" t="s">
        <v>319</v>
      </c>
      <c r="F62" s="61" t="s">
        <v>261</v>
      </c>
      <c r="G62" s="64">
        <v>1.01</v>
      </c>
      <c r="H62" s="148" t="s">
        <v>319</v>
      </c>
      <c r="J62" s="61" t="s">
        <v>261</v>
      </c>
      <c r="K62" s="129" t="s">
        <v>333</v>
      </c>
      <c r="L62" s="128" t="s">
        <v>319</v>
      </c>
    </row>
    <row r="63" spans="1:12" x14ac:dyDescent="0.25">
      <c r="A63" s="51">
        <v>50</v>
      </c>
      <c r="B63" s="61" t="s">
        <v>262</v>
      </c>
      <c r="C63" s="63" t="s">
        <v>319</v>
      </c>
      <c r="D63" s="63" t="s">
        <v>319</v>
      </c>
      <c r="F63" s="61" t="s">
        <v>262</v>
      </c>
      <c r="G63" s="64">
        <v>15.12</v>
      </c>
      <c r="H63" s="148" t="s">
        <v>319</v>
      </c>
      <c r="J63" s="61" t="s">
        <v>262</v>
      </c>
      <c r="K63" s="129" t="s">
        <v>319</v>
      </c>
      <c r="L63" s="128" t="s">
        <v>319</v>
      </c>
    </row>
    <row r="64" spans="1:12" x14ac:dyDescent="0.25">
      <c r="B64" s="61"/>
      <c r="C64" s="64"/>
      <c r="D64" s="64"/>
      <c r="F64" s="61"/>
      <c r="G64" s="64"/>
      <c r="H64" s="64"/>
      <c r="J64" s="61"/>
      <c r="K64" s="129"/>
      <c r="L64" s="129"/>
    </row>
    <row r="65" spans="2:12" x14ac:dyDescent="0.25">
      <c r="B65" s="58" t="s">
        <v>263</v>
      </c>
      <c r="C65" s="52"/>
      <c r="D65" s="52"/>
      <c r="F65" s="58" t="s">
        <v>263</v>
      </c>
      <c r="G65" s="52"/>
      <c r="H65" s="52"/>
      <c r="J65" s="58" t="s">
        <v>263</v>
      </c>
      <c r="K65" s="52"/>
      <c r="L65" s="52"/>
    </row>
    <row r="66" spans="2:12" x14ac:dyDescent="0.25">
      <c r="B66" s="65" t="s">
        <v>320</v>
      </c>
      <c r="C66" s="64"/>
      <c r="D66" s="64"/>
      <c r="F66" s="65" t="s">
        <v>324</v>
      </c>
      <c r="G66" s="64"/>
      <c r="H66" s="64"/>
      <c r="J66" s="65"/>
      <c r="K66" s="64"/>
      <c r="L66" s="64"/>
    </row>
    <row r="67" spans="2:12" x14ac:dyDescent="0.25">
      <c r="B67" s="65" t="s">
        <v>321</v>
      </c>
      <c r="C67" s="64"/>
      <c r="D67" s="64"/>
      <c r="F67" s="65" t="s">
        <v>325</v>
      </c>
      <c r="G67" s="64"/>
      <c r="H67" s="64"/>
      <c r="J67" s="65"/>
      <c r="K67" s="64"/>
      <c r="L67" s="64"/>
    </row>
    <row r="68" spans="2:12" x14ac:dyDescent="0.25">
      <c r="B68" s="64" t="s">
        <v>322</v>
      </c>
      <c r="C68" s="64"/>
      <c r="D68" s="64"/>
      <c r="F68" s="64" t="s">
        <v>326</v>
      </c>
      <c r="G68" s="64"/>
      <c r="H68" s="64"/>
      <c r="J68" s="64"/>
      <c r="K68" s="64"/>
      <c r="L68" s="64"/>
    </row>
    <row r="69" spans="2:12" x14ac:dyDescent="0.25">
      <c r="B69" s="64"/>
      <c r="C69" s="64"/>
      <c r="D69" s="64"/>
      <c r="F69" s="64"/>
      <c r="G69" s="64"/>
      <c r="H69" s="64"/>
      <c r="J69" s="64"/>
      <c r="K69" s="64"/>
      <c r="L69" s="64"/>
    </row>
    <row r="70" spans="2:12" x14ac:dyDescent="0.25">
      <c r="B70" s="64"/>
      <c r="C70" s="64"/>
      <c r="D70" s="64"/>
      <c r="F70" s="64"/>
      <c r="G70" s="64"/>
      <c r="H70" s="64"/>
      <c r="J70" s="64"/>
      <c r="K70" s="64"/>
      <c r="L70" s="64"/>
    </row>
    <row r="71" spans="2:12" x14ac:dyDescent="0.25">
      <c r="B71" s="64"/>
      <c r="C71" s="64"/>
      <c r="D71" s="64"/>
      <c r="F71" s="64"/>
      <c r="G71" s="64"/>
      <c r="H71" s="64"/>
      <c r="J71" s="64"/>
      <c r="K71" s="64"/>
      <c r="L71" s="64"/>
    </row>
    <row r="72" spans="2:12" x14ac:dyDescent="0.25">
      <c r="B72" s="64"/>
      <c r="C72" s="64"/>
      <c r="D72" s="64"/>
      <c r="F72" s="64"/>
      <c r="G72" s="64"/>
      <c r="H72" s="64"/>
      <c r="J72" s="64"/>
      <c r="K72" s="64"/>
      <c r="L72" s="64"/>
    </row>
    <row r="73" spans="2:12" x14ac:dyDescent="0.25">
      <c r="B73" s="64"/>
      <c r="C73" s="64"/>
      <c r="D73" s="64"/>
      <c r="F73" s="64"/>
      <c r="G73" s="64"/>
      <c r="H73" s="64"/>
      <c r="J73" s="64"/>
      <c r="K73" s="64"/>
      <c r="L73" s="64"/>
    </row>
    <row r="74" spans="2:12" x14ac:dyDescent="0.25">
      <c r="B74" s="64"/>
      <c r="C74" s="64"/>
      <c r="D74" s="64"/>
      <c r="F74" s="64"/>
      <c r="G74" s="64"/>
      <c r="H74" s="64"/>
      <c r="J74" s="64"/>
      <c r="K74" s="64"/>
      <c r="L74" s="64"/>
    </row>
    <row r="75" spans="2:12" x14ac:dyDescent="0.25">
      <c r="B75" s="64"/>
      <c r="C75" s="64"/>
      <c r="D75" s="64"/>
      <c r="F75" s="64"/>
      <c r="G75" s="64"/>
      <c r="H75" s="64"/>
      <c r="J75" s="64"/>
      <c r="K75" s="64"/>
      <c r="L75" s="64"/>
    </row>
    <row r="76" spans="2:12" x14ac:dyDescent="0.25">
      <c r="B76" s="64"/>
      <c r="C76" s="64"/>
      <c r="D76" s="64"/>
      <c r="F76" s="64"/>
      <c r="G76" s="64"/>
      <c r="H76" s="64"/>
      <c r="J76" s="64"/>
      <c r="K76" s="64"/>
      <c r="L76" s="64"/>
    </row>
    <row r="80" spans="2:12" x14ac:dyDescent="0.25">
      <c r="B80" s="155"/>
      <c r="C80" s="156"/>
      <c r="D80" s="156"/>
      <c r="E80" s="156"/>
      <c r="F80" s="155"/>
      <c r="G80" s="156"/>
      <c r="H80" s="156"/>
      <c r="I80" s="156"/>
    </row>
    <row r="81" spans="2:9" x14ac:dyDescent="0.25">
      <c r="B81" s="155"/>
      <c r="C81" s="156"/>
      <c r="D81" s="156"/>
      <c r="E81" s="156"/>
      <c r="F81" s="155"/>
      <c r="G81" s="156"/>
      <c r="H81" s="156"/>
      <c r="I81" s="156"/>
    </row>
    <row r="82" spans="2:9" x14ac:dyDescent="0.25">
      <c r="B82" s="155"/>
      <c r="C82" s="156"/>
      <c r="D82" s="156"/>
      <c r="E82" s="156"/>
      <c r="F82" s="155"/>
      <c r="G82" s="156"/>
      <c r="H82" s="156"/>
      <c r="I82" s="156"/>
    </row>
    <row r="83" spans="2:9" x14ac:dyDescent="0.25">
      <c r="B83" s="155"/>
      <c r="C83" s="156"/>
      <c r="D83" s="156"/>
      <c r="E83" s="156"/>
      <c r="F83" s="155"/>
      <c r="G83" s="156"/>
      <c r="H83" s="156"/>
      <c r="I83" s="156"/>
    </row>
  </sheetData>
  <pageMargins left="0.7" right="0.7" top="0.75" bottom="0.75" header="0.3" footer="0.3"/>
  <pageSetup scale="97" orientation="portrait" verticalDpi="9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39997558519241921"/>
  </sheetPr>
  <dimension ref="A1:L31"/>
  <sheetViews>
    <sheetView zoomScaleNormal="100" workbookViewId="0">
      <selection activeCell="F37" sqref="F37"/>
    </sheetView>
  </sheetViews>
  <sheetFormatPr defaultRowHeight="12" x14ac:dyDescent="0.15"/>
  <cols>
    <col min="2" max="2" width="58.75" customWidth="1"/>
    <col min="3" max="3" width="12.375" customWidth="1"/>
    <col min="4" max="4" width="11.375" customWidth="1"/>
    <col min="6" max="6" width="40.75" bestFit="1" customWidth="1"/>
    <col min="10" max="10" width="40.75" bestFit="1" customWidth="1"/>
  </cols>
  <sheetData>
    <row r="1" spans="1:12" s="51" customFormat="1" ht="15" x14ac:dyDescent="0.25">
      <c r="B1" s="52"/>
    </row>
    <row r="2" spans="1:12" s="51" customFormat="1" ht="15" x14ac:dyDescent="0.25">
      <c r="B2" s="53" t="s">
        <v>209</v>
      </c>
    </row>
    <row r="3" spans="1:12" s="51" customFormat="1" ht="15" x14ac:dyDescent="0.25">
      <c r="B3" s="67" t="s">
        <v>264</v>
      </c>
    </row>
    <row r="4" spans="1:12" s="51" customFormat="1" ht="15" x14ac:dyDescent="0.25">
      <c r="B4" s="66"/>
    </row>
    <row r="5" spans="1:12" s="51" customFormat="1" ht="15" x14ac:dyDescent="0.25">
      <c r="B5" s="234" t="s">
        <v>308</v>
      </c>
      <c r="C5" s="235"/>
      <c r="D5" s="236"/>
      <c r="F5" s="234" t="s">
        <v>309</v>
      </c>
      <c r="G5" s="235" t="s">
        <v>309</v>
      </c>
      <c r="H5" s="236" t="s">
        <v>309</v>
      </c>
      <c r="J5" s="234" t="s">
        <v>426</v>
      </c>
      <c r="K5" s="235"/>
      <c r="L5" s="236"/>
    </row>
    <row r="6" spans="1:12" s="51" customFormat="1" ht="15" x14ac:dyDescent="0.25">
      <c r="B6" s="234" t="s">
        <v>433</v>
      </c>
      <c r="C6" s="235"/>
      <c r="D6" s="236"/>
      <c r="F6" s="234" t="s">
        <v>421</v>
      </c>
      <c r="G6" s="235" t="s">
        <v>421</v>
      </c>
      <c r="H6" s="236" t="s">
        <v>421</v>
      </c>
      <c r="J6" s="234" t="s">
        <v>427</v>
      </c>
      <c r="K6" s="235"/>
      <c r="L6" s="236"/>
    </row>
    <row r="7" spans="1:12" s="51" customFormat="1" ht="15" x14ac:dyDescent="0.25">
      <c r="B7" s="234" t="s">
        <v>415</v>
      </c>
      <c r="C7" s="235"/>
      <c r="D7" s="236"/>
      <c r="F7" s="234" t="s">
        <v>422</v>
      </c>
      <c r="G7" s="235" t="s">
        <v>422</v>
      </c>
      <c r="H7" s="236" t="s">
        <v>422</v>
      </c>
      <c r="J7" s="234" t="s">
        <v>432</v>
      </c>
      <c r="K7" s="235"/>
      <c r="L7" s="236"/>
    </row>
    <row r="8" spans="1:12" s="51" customFormat="1" ht="15" x14ac:dyDescent="0.25">
      <c r="B8" s="234" t="s">
        <v>410</v>
      </c>
      <c r="C8" s="235"/>
      <c r="D8" s="236"/>
      <c r="F8" s="234" t="s">
        <v>423</v>
      </c>
      <c r="G8" s="235" t="s">
        <v>423</v>
      </c>
      <c r="H8" s="236" t="s">
        <v>423</v>
      </c>
      <c r="J8" s="234" t="s">
        <v>429</v>
      </c>
      <c r="K8" s="235"/>
      <c r="L8" s="236"/>
    </row>
    <row r="9" spans="1:12" s="51" customFormat="1" ht="15" x14ac:dyDescent="0.25">
      <c r="B9" s="234" t="s">
        <v>411</v>
      </c>
      <c r="C9" s="235"/>
      <c r="D9" s="236"/>
      <c r="F9" s="234" t="s">
        <v>419</v>
      </c>
      <c r="G9" s="235" t="s">
        <v>419</v>
      </c>
      <c r="H9" s="236" t="s">
        <v>419</v>
      </c>
      <c r="J9" s="234" t="s">
        <v>430</v>
      </c>
      <c r="K9" s="235"/>
      <c r="L9" s="236"/>
    </row>
    <row r="10" spans="1:12" s="51" customFormat="1" ht="15" x14ac:dyDescent="0.25">
      <c r="B10" s="234" t="s">
        <v>412</v>
      </c>
      <c r="C10" s="235"/>
      <c r="D10" s="236"/>
      <c r="F10" s="234" t="s">
        <v>424</v>
      </c>
      <c r="G10" s="235" t="s">
        <v>424</v>
      </c>
      <c r="H10" s="236" t="s">
        <v>424</v>
      </c>
      <c r="J10" s="234" t="s">
        <v>431</v>
      </c>
      <c r="K10" s="235"/>
      <c r="L10" s="236"/>
    </row>
    <row r="11" spans="1:12" s="51" customFormat="1" ht="15" x14ac:dyDescent="0.25"/>
    <row r="12" spans="1:12" s="51" customFormat="1" ht="15" x14ac:dyDescent="0.25">
      <c r="B12" s="55" t="s">
        <v>210</v>
      </c>
      <c r="F12" s="55" t="s">
        <v>210</v>
      </c>
      <c r="J12" s="55" t="s">
        <v>210</v>
      </c>
    </row>
    <row r="13" spans="1:12" s="51" customFormat="1" ht="15" x14ac:dyDescent="0.25">
      <c r="B13" s="56" t="s">
        <v>91</v>
      </c>
      <c r="C13" s="57" t="s">
        <v>1</v>
      </c>
      <c r="D13" s="57" t="s">
        <v>211</v>
      </c>
      <c r="F13" s="56" t="s">
        <v>91</v>
      </c>
      <c r="G13" s="57" t="s">
        <v>1</v>
      </c>
      <c r="H13" s="57" t="s">
        <v>211</v>
      </c>
      <c r="J13" s="56" t="s">
        <v>91</v>
      </c>
      <c r="K13" s="57" t="s">
        <v>1</v>
      </c>
      <c r="L13" s="57" t="s">
        <v>211</v>
      </c>
    </row>
    <row r="14" spans="1:12" s="51" customFormat="1" ht="15" x14ac:dyDescent="0.25">
      <c r="A14" s="51">
        <v>1</v>
      </c>
      <c r="B14" s="52" t="s">
        <v>212</v>
      </c>
      <c r="C14" s="112">
        <v>100</v>
      </c>
      <c r="D14" s="131">
        <v>100</v>
      </c>
      <c r="F14" s="52" t="s">
        <v>212</v>
      </c>
      <c r="G14" s="112">
        <v>105.86</v>
      </c>
      <c r="H14" s="112">
        <v>105.86</v>
      </c>
      <c r="J14" s="52" t="s">
        <v>212</v>
      </c>
      <c r="K14" s="131">
        <v>120</v>
      </c>
      <c r="L14" s="131">
        <v>120</v>
      </c>
    </row>
    <row r="15" spans="1:12" s="51" customFormat="1" ht="15" x14ac:dyDescent="0.25">
      <c r="A15" s="51">
        <v>2</v>
      </c>
      <c r="B15" s="52" t="s">
        <v>213</v>
      </c>
      <c r="C15" s="113">
        <v>150</v>
      </c>
      <c r="D15" s="132">
        <v>150</v>
      </c>
      <c r="F15" s="52" t="s">
        <v>213</v>
      </c>
      <c r="G15" s="113">
        <v>143.16</v>
      </c>
      <c r="H15" s="113">
        <v>143.16</v>
      </c>
      <c r="J15" s="52" t="s">
        <v>213</v>
      </c>
      <c r="K15" s="132">
        <v>180</v>
      </c>
      <c r="L15" s="132">
        <v>180</v>
      </c>
    </row>
    <row r="16" spans="1:12" s="51" customFormat="1" ht="15" x14ac:dyDescent="0.25">
      <c r="A16" s="51">
        <v>3</v>
      </c>
      <c r="B16" s="52" t="s">
        <v>214</v>
      </c>
      <c r="C16" s="113">
        <v>185</v>
      </c>
      <c r="D16" s="132">
        <v>185</v>
      </c>
      <c r="F16" s="52" t="s">
        <v>214</v>
      </c>
      <c r="G16" s="113">
        <v>176.44</v>
      </c>
      <c r="H16" s="113">
        <v>176.44</v>
      </c>
      <c r="J16" s="52" t="s">
        <v>214</v>
      </c>
      <c r="K16" s="132">
        <v>240</v>
      </c>
      <c r="L16" s="132">
        <v>240</v>
      </c>
    </row>
    <row r="17" spans="1:12" s="51" customFormat="1" ht="19.5" customHeight="1" x14ac:dyDescent="0.25">
      <c r="A17" s="51">
        <v>4</v>
      </c>
      <c r="B17" s="53" t="s">
        <v>215</v>
      </c>
      <c r="C17" s="132">
        <v>150</v>
      </c>
      <c r="D17" s="132">
        <v>150</v>
      </c>
      <c r="F17" s="53" t="s">
        <v>215</v>
      </c>
      <c r="G17" s="113">
        <v>143.16</v>
      </c>
      <c r="H17" s="113">
        <v>143.16</v>
      </c>
      <c r="J17" s="53" t="s">
        <v>215</v>
      </c>
      <c r="K17" s="132">
        <v>180</v>
      </c>
      <c r="L17" s="132">
        <v>180</v>
      </c>
    </row>
    <row r="18" spans="1:12" s="51" customFormat="1" ht="15" x14ac:dyDescent="0.25">
      <c r="A18" s="51">
        <v>5</v>
      </c>
      <c r="B18" s="52" t="s">
        <v>216</v>
      </c>
      <c r="C18" s="113">
        <v>20</v>
      </c>
      <c r="D18" s="132">
        <v>20</v>
      </c>
      <c r="F18" s="52" t="s">
        <v>216</v>
      </c>
      <c r="G18" s="113">
        <v>20</v>
      </c>
      <c r="H18" s="113">
        <v>20</v>
      </c>
      <c r="J18" s="52" t="s">
        <v>216</v>
      </c>
      <c r="K18" s="130"/>
      <c r="L18" s="130"/>
    </row>
    <row r="19" spans="1:12" s="51" customFormat="1" ht="15" x14ac:dyDescent="0.25">
      <c r="B19" s="58" t="s">
        <v>92</v>
      </c>
      <c r="C19" s="113"/>
      <c r="D19" s="113"/>
      <c r="F19" s="58" t="s">
        <v>92</v>
      </c>
      <c r="G19" s="113"/>
      <c r="H19" s="113"/>
      <c r="J19" s="58" t="s">
        <v>92</v>
      </c>
      <c r="K19" s="130"/>
      <c r="L19" s="130"/>
    </row>
    <row r="20" spans="1:12" s="51" customFormat="1" ht="15" x14ac:dyDescent="0.25">
      <c r="A20" s="51">
        <v>6</v>
      </c>
      <c r="B20" s="52" t="s">
        <v>212</v>
      </c>
      <c r="C20" s="131">
        <v>100</v>
      </c>
      <c r="D20" s="131">
        <v>100</v>
      </c>
      <c r="F20" s="52" t="s">
        <v>212</v>
      </c>
      <c r="G20" s="113">
        <v>105.86</v>
      </c>
      <c r="H20" s="112">
        <v>105.86</v>
      </c>
      <c r="J20" s="52" t="s">
        <v>212</v>
      </c>
      <c r="K20" s="131">
        <v>120</v>
      </c>
      <c r="L20" s="131">
        <v>120</v>
      </c>
    </row>
    <row r="21" spans="1:12" s="51" customFormat="1" ht="15" x14ac:dyDescent="0.25">
      <c r="A21" s="51">
        <v>7</v>
      </c>
      <c r="B21" s="52" t="s">
        <v>213</v>
      </c>
      <c r="C21" s="132">
        <v>150</v>
      </c>
      <c r="D21" s="132">
        <v>150</v>
      </c>
      <c r="F21" s="52" t="s">
        <v>213</v>
      </c>
      <c r="G21" s="113">
        <v>143.13</v>
      </c>
      <c r="H21" s="113">
        <v>143.13</v>
      </c>
      <c r="J21" s="52" t="s">
        <v>213</v>
      </c>
      <c r="K21" s="132">
        <v>180</v>
      </c>
      <c r="L21" s="132">
        <v>180</v>
      </c>
    </row>
    <row r="22" spans="1:12" s="51" customFormat="1" ht="15" x14ac:dyDescent="0.25">
      <c r="A22" s="51">
        <v>8</v>
      </c>
      <c r="B22" s="52" t="s">
        <v>214</v>
      </c>
      <c r="C22" s="132">
        <v>185</v>
      </c>
      <c r="D22" s="132">
        <v>185</v>
      </c>
      <c r="F22" s="52" t="s">
        <v>214</v>
      </c>
      <c r="G22" s="113">
        <v>176.44</v>
      </c>
      <c r="H22" s="113">
        <v>176.44</v>
      </c>
      <c r="J22" s="52" t="s">
        <v>214</v>
      </c>
      <c r="K22" s="132">
        <v>240</v>
      </c>
      <c r="L22" s="132">
        <v>240</v>
      </c>
    </row>
    <row r="23" spans="1:12" s="51" customFormat="1" ht="15.6" customHeight="1" x14ac:dyDescent="0.25">
      <c r="A23" s="51">
        <v>9</v>
      </c>
      <c r="B23" s="53" t="s">
        <v>215</v>
      </c>
      <c r="C23" s="132">
        <v>150</v>
      </c>
      <c r="D23" s="132">
        <v>150</v>
      </c>
      <c r="F23" s="53" t="s">
        <v>215</v>
      </c>
      <c r="G23" s="113">
        <v>143.16</v>
      </c>
      <c r="H23" s="113">
        <v>143.16</v>
      </c>
      <c r="J23" s="53" t="s">
        <v>215</v>
      </c>
      <c r="K23" s="132">
        <v>180</v>
      </c>
      <c r="L23" s="132">
        <v>180</v>
      </c>
    </row>
    <row r="24" spans="1:12" s="51" customFormat="1" ht="15" x14ac:dyDescent="0.25">
      <c r="A24" s="51">
        <v>10</v>
      </c>
      <c r="B24" s="52" t="s">
        <v>216</v>
      </c>
      <c r="C24" s="132">
        <v>20</v>
      </c>
      <c r="D24" s="132">
        <v>20</v>
      </c>
      <c r="F24" s="52" t="s">
        <v>216</v>
      </c>
      <c r="G24" s="113">
        <v>20</v>
      </c>
      <c r="H24" s="113">
        <v>20</v>
      </c>
      <c r="J24" s="52" t="s">
        <v>216</v>
      </c>
      <c r="K24" s="130"/>
      <c r="L24" s="130"/>
    </row>
    <row r="25" spans="1:12" s="51" customFormat="1" ht="15" x14ac:dyDescent="0.25">
      <c r="B25" s="58" t="s">
        <v>208</v>
      </c>
      <c r="C25" s="113"/>
      <c r="D25" s="113"/>
      <c r="F25" s="58" t="s">
        <v>208</v>
      </c>
      <c r="G25" s="113"/>
      <c r="H25" s="113"/>
      <c r="J25" s="58" t="s">
        <v>208</v>
      </c>
      <c r="K25" s="130"/>
      <c r="L25" s="130"/>
    </row>
    <row r="26" spans="1:12" s="51" customFormat="1" ht="15" x14ac:dyDescent="0.25">
      <c r="A26" s="51">
        <v>11</v>
      </c>
      <c r="B26" s="52" t="s">
        <v>212</v>
      </c>
      <c r="C26" s="131">
        <v>100</v>
      </c>
      <c r="D26" s="131">
        <v>100</v>
      </c>
      <c r="F26" s="52" t="s">
        <v>212</v>
      </c>
      <c r="G26" s="112">
        <v>105.86</v>
      </c>
      <c r="H26" s="112">
        <v>105.86</v>
      </c>
      <c r="J26" s="52" t="s">
        <v>212</v>
      </c>
      <c r="K26" s="131">
        <v>120</v>
      </c>
      <c r="L26" s="131">
        <v>120</v>
      </c>
    </row>
    <row r="27" spans="1:12" s="51" customFormat="1" ht="15" x14ac:dyDescent="0.25">
      <c r="A27" s="51">
        <v>12</v>
      </c>
      <c r="B27" s="52" t="s">
        <v>213</v>
      </c>
      <c r="C27" s="132">
        <v>150</v>
      </c>
      <c r="D27" s="132">
        <v>150</v>
      </c>
      <c r="F27" s="52" t="s">
        <v>213</v>
      </c>
      <c r="G27" s="113">
        <v>143.16</v>
      </c>
      <c r="H27" s="113">
        <v>143.16</v>
      </c>
      <c r="J27" s="52" t="s">
        <v>213</v>
      </c>
      <c r="K27" s="132">
        <v>180</v>
      </c>
      <c r="L27" s="132">
        <v>180</v>
      </c>
    </row>
    <row r="28" spans="1:12" s="51" customFormat="1" ht="15" x14ac:dyDescent="0.25">
      <c r="A28" s="51">
        <v>13</v>
      </c>
      <c r="B28" s="52" t="s">
        <v>214</v>
      </c>
      <c r="C28" s="132">
        <v>185</v>
      </c>
      <c r="D28" s="132">
        <v>185</v>
      </c>
      <c r="F28" s="52" t="s">
        <v>214</v>
      </c>
      <c r="G28" s="113">
        <v>176.44</v>
      </c>
      <c r="H28" s="113">
        <v>176.44</v>
      </c>
      <c r="J28" s="52" t="s">
        <v>214</v>
      </c>
      <c r="K28" s="132">
        <v>240</v>
      </c>
      <c r="L28" s="132">
        <v>240</v>
      </c>
    </row>
    <row r="29" spans="1:12" s="51" customFormat="1" ht="20.45" customHeight="1" x14ac:dyDescent="0.25">
      <c r="A29" s="51">
        <v>14</v>
      </c>
      <c r="B29" s="53" t="s">
        <v>215</v>
      </c>
      <c r="C29" s="132">
        <v>150</v>
      </c>
      <c r="D29" s="132">
        <v>150</v>
      </c>
      <c r="F29" s="53" t="s">
        <v>215</v>
      </c>
      <c r="G29" s="113">
        <v>143.16</v>
      </c>
      <c r="H29" s="113">
        <v>143.16</v>
      </c>
      <c r="J29" s="53" t="s">
        <v>215</v>
      </c>
      <c r="K29" s="132">
        <v>180</v>
      </c>
      <c r="L29" s="132">
        <v>180</v>
      </c>
    </row>
    <row r="30" spans="1:12" s="51" customFormat="1" ht="15" x14ac:dyDescent="0.25">
      <c r="A30" s="51">
        <v>15</v>
      </c>
      <c r="B30" s="52" t="s">
        <v>216</v>
      </c>
      <c r="C30" s="132">
        <v>20</v>
      </c>
      <c r="D30" s="132">
        <v>20</v>
      </c>
      <c r="F30" s="52" t="s">
        <v>216</v>
      </c>
      <c r="G30" s="113">
        <v>20</v>
      </c>
      <c r="H30" s="113">
        <v>20</v>
      </c>
      <c r="J30" s="52" t="s">
        <v>216</v>
      </c>
      <c r="K30" s="130"/>
      <c r="L30" s="130"/>
    </row>
    <row r="31" spans="1:12" s="51" customFormat="1" ht="15" x14ac:dyDescent="0.25">
      <c r="B31" s="52"/>
      <c r="C31" s="113"/>
      <c r="D31" s="113"/>
      <c r="F31" s="52"/>
      <c r="G31" s="113"/>
      <c r="H31" s="113"/>
      <c r="J31" s="52"/>
      <c r="K31" s="130"/>
      <c r="L31" s="130"/>
    </row>
  </sheetData>
  <mergeCells count="18">
    <mergeCell ref="B10:D10"/>
    <mergeCell ref="F5:H5"/>
    <mergeCell ref="F6:H6"/>
    <mergeCell ref="F7:H7"/>
    <mergeCell ref="F8:H8"/>
    <mergeCell ref="F9:H9"/>
    <mergeCell ref="F10:H10"/>
    <mergeCell ref="B5:D5"/>
    <mergeCell ref="B6:D6"/>
    <mergeCell ref="B7:D7"/>
    <mergeCell ref="B8:D8"/>
    <mergeCell ref="B9:D9"/>
    <mergeCell ref="J10:L10"/>
    <mergeCell ref="J5:L5"/>
    <mergeCell ref="J6:L6"/>
    <mergeCell ref="J7:L7"/>
    <mergeCell ref="J8:L8"/>
    <mergeCell ref="J9:L9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84151-930F-40A3-8978-175B73192C21}">
  <dimension ref="A2:AI96"/>
  <sheetViews>
    <sheetView zoomScaleNormal="100" workbookViewId="0">
      <selection activeCell="B35" sqref="B35"/>
    </sheetView>
  </sheetViews>
  <sheetFormatPr defaultRowHeight="12" x14ac:dyDescent="0.15"/>
  <cols>
    <col min="1" max="1" width="10.875" bestFit="1" customWidth="1"/>
    <col min="2" max="2" width="24.25" bestFit="1" customWidth="1"/>
    <col min="5" max="5" width="7.625" bestFit="1" customWidth="1"/>
    <col min="8" max="8" width="7.625" bestFit="1" customWidth="1"/>
    <col min="9" max="9" width="24.25" bestFit="1" customWidth="1"/>
    <col min="11" max="11" width="7.625" bestFit="1" customWidth="1"/>
    <col min="14" max="14" width="7.625" bestFit="1" customWidth="1"/>
  </cols>
  <sheetData>
    <row r="2" spans="1:35" x14ac:dyDescent="0.15">
      <c r="A2" t="s">
        <v>341</v>
      </c>
      <c r="D2" t="s">
        <v>341</v>
      </c>
      <c r="G2" t="s">
        <v>341</v>
      </c>
      <c r="J2" t="s">
        <v>342</v>
      </c>
      <c r="M2" t="s">
        <v>342</v>
      </c>
      <c r="P2" t="s">
        <v>342</v>
      </c>
      <c r="S2" t="s">
        <v>343</v>
      </c>
      <c r="V2" t="s">
        <v>343</v>
      </c>
      <c r="Y2" t="s">
        <v>343</v>
      </c>
      <c r="AB2" t="s">
        <v>344</v>
      </c>
      <c r="AE2" t="s">
        <v>344</v>
      </c>
      <c r="AH2" t="s">
        <v>344</v>
      </c>
    </row>
    <row r="3" spans="1:35" x14ac:dyDescent="0.15">
      <c r="A3" t="s">
        <v>334</v>
      </c>
      <c r="D3" t="s">
        <v>335</v>
      </c>
      <c r="G3" t="s">
        <v>336</v>
      </c>
      <c r="J3" t="s">
        <v>334</v>
      </c>
      <c r="M3" t="s">
        <v>335</v>
      </c>
      <c r="P3" t="s">
        <v>336</v>
      </c>
      <c r="S3" t="s">
        <v>334</v>
      </c>
      <c r="V3" t="s">
        <v>335</v>
      </c>
      <c r="Y3" t="s">
        <v>336</v>
      </c>
      <c r="AB3" t="s">
        <v>334</v>
      </c>
      <c r="AE3" t="s">
        <v>335</v>
      </c>
      <c r="AH3" t="s">
        <v>336</v>
      </c>
    </row>
    <row r="4" spans="1:35" ht="12.75" x14ac:dyDescent="0.2">
      <c r="A4" s="79" t="s">
        <v>302</v>
      </c>
      <c r="B4" s="83" t="s">
        <v>292</v>
      </c>
      <c r="D4" s="79" t="s">
        <v>302</v>
      </c>
      <c r="E4" s="83" t="s">
        <v>292</v>
      </c>
      <c r="G4" s="79" t="s">
        <v>302</v>
      </c>
      <c r="H4" s="83" t="s">
        <v>292</v>
      </c>
      <c r="J4" s="92" t="s">
        <v>302</v>
      </c>
      <c r="K4" s="83" t="s">
        <v>292</v>
      </c>
      <c r="M4" s="92" t="s">
        <v>302</v>
      </c>
      <c r="N4" s="83" t="s">
        <v>292</v>
      </c>
      <c r="P4" s="92" t="s">
        <v>302</v>
      </c>
      <c r="Q4" s="83" t="s">
        <v>292</v>
      </c>
      <c r="S4" s="79" t="s">
        <v>302</v>
      </c>
      <c r="T4" s="83" t="s">
        <v>292</v>
      </c>
      <c r="V4" s="79" t="s">
        <v>302</v>
      </c>
      <c r="W4" s="83" t="s">
        <v>292</v>
      </c>
      <c r="Y4" s="79" t="s">
        <v>302</v>
      </c>
      <c r="Z4" s="83" t="s">
        <v>292</v>
      </c>
      <c r="AB4" s="79" t="s">
        <v>302</v>
      </c>
      <c r="AC4" s="83" t="s">
        <v>292</v>
      </c>
      <c r="AE4" s="79" t="s">
        <v>302</v>
      </c>
      <c r="AF4" s="83" t="s">
        <v>292</v>
      </c>
      <c r="AH4" s="79" t="s">
        <v>302</v>
      </c>
      <c r="AI4" s="83" t="s">
        <v>292</v>
      </c>
    </row>
    <row r="5" spans="1:35" ht="63.75" x14ac:dyDescent="0.15">
      <c r="A5" s="76" t="s">
        <v>277</v>
      </c>
      <c r="B5" s="76" t="s">
        <v>276</v>
      </c>
      <c r="D5" s="76" t="s">
        <v>277</v>
      </c>
      <c r="E5" s="76" t="s">
        <v>276</v>
      </c>
      <c r="G5" s="76" t="s">
        <v>277</v>
      </c>
      <c r="H5" s="76" t="s">
        <v>276</v>
      </c>
      <c r="J5" s="76" t="s">
        <v>277</v>
      </c>
      <c r="K5" s="76" t="s">
        <v>276</v>
      </c>
      <c r="M5" s="76" t="s">
        <v>277</v>
      </c>
      <c r="N5" s="76" t="s">
        <v>276</v>
      </c>
      <c r="P5" s="76" t="s">
        <v>277</v>
      </c>
      <c r="Q5" s="76" t="s">
        <v>276</v>
      </c>
      <c r="S5" s="76" t="s">
        <v>277</v>
      </c>
      <c r="T5" s="76" t="s">
        <v>276</v>
      </c>
      <c r="V5" s="76" t="s">
        <v>277</v>
      </c>
      <c r="W5" s="76" t="s">
        <v>276</v>
      </c>
      <c r="Y5" s="76" t="s">
        <v>277</v>
      </c>
      <c r="Z5" s="76" t="s">
        <v>276</v>
      </c>
      <c r="AB5" s="76" t="s">
        <v>277</v>
      </c>
      <c r="AC5" s="76" t="s">
        <v>276</v>
      </c>
      <c r="AE5" s="76" t="s">
        <v>277</v>
      </c>
      <c r="AF5" s="76" t="s">
        <v>276</v>
      </c>
      <c r="AH5" s="76" t="s">
        <v>277</v>
      </c>
      <c r="AI5" s="76" t="s">
        <v>276</v>
      </c>
    </row>
    <row r="6" spans="1:35" x14ac:dyDescent="0.15">
      <c r="A6" s="133"/>
      <c r="B6" s="133"/>
      <c r="D6" s="134"/>
      <c r="E6" s="134"/>
      <c r="G6" s="133"/>
      <c r="H6" s="133"/>
      <c r="J6" s="96"/>
      <c r="K6" s="96"/>
      <c r="M6" s="96"/>
      <c r="N6" s="96"/>
      <c r="P6" s="117"/>
      <c r="Q6" s="117"/>
      <c r="S6" s="5"/>
      <c r="V6" s="5"/>
      <c r="Y6" s="5"/>
    </row>
    <row r="7" spans="1:35" x14ac:dyDescent="0.15">
      <c r="A7" s="133"/>
      <c r="B7" s="133"/>
      <c r="D7" s="134"/>
      <c r="E7" s="134"/>
      <c r="G7" s="133"/>
      <c r="H7" s="133"/>
      <c r="J7" s="96"/>
      <c r="K7" s="96"/>
      <c r="M7" s="96"/>
      <c r="N7" s="96"/>
      <c r="P7" s="117"/>
      <c r="Q7" s="117"/>
      <c r="S7" s="115">
        <v>23</v>
      </c>
      <c r="T7" s="115">
        <v>150</v>
      </c>
      <c r="V7" s="109">
        <v>18</v>
      </c>
      <c r="W7" s="109">
        <v>70</v>
      </c>
      <c r="Y7" s="15">
        <v>31.25</v>
      </c>
      <c r="Z7" s="111">
        <v>500</v>
      </c>
    </row>
    <row r="8" spans="1:35" x14ac:dyDescent="0.15">
      <c r="A8" s="133"/>
      <c r="B8" s="133"/>
      <c r="D8" s="134"/>
      <c r="E8" s="134"/>
      <c r="G8" s="133"/>
      <c r="H8" s="133"/>
      <c r="J8" s="96"/>
      <c r="K8" s="96"/>
      <c r="M8" s="96"/>
      <c r="N8" s="96"/>
      <c r="P8" s="117"/>
      <c r="Q8" s="117"/>
      <c r="S8" s="138"/>
      <c r="T8" s="135"/>
      <c r="V8" s="110"/>
      <c r="W8" s="97"/>
      <c r="Y8" s="5"/>
      <c r="AB8" s="136">
        <v>23</v>
      </c>
      <c r="AC8" s="136">
        <v>150</v>
      </c>
      <c r="AE8" s="136">
        <v>18</v>
      </c>
      <c r="AF8" s="136">
        <v>70</v>
      </c>
      <c r="AH8" s="126">
        <v>31.25</v>
      </c>
      <c r="AI8" s="136">
        <v>600</v>
      </c>
    </row>
    <row r="9" spans="1:35" x14ac:dyDescent="0.15">
      <c r="A9" s="133"/>
      <c r="B9" s="133"/>
      <c r="D9" s="134"/>
      <c r="E9" s="134"/>
      <c r="G9" s="133"/>
      <c r="H9" s="133"/>
      <c r="J9" s="96"/>
      <c r="K9" s="96"/>
      <c r="M9" s="96"/>
      <c r="N9" s="96"/>
      <c r="P9" s="117"/>
      <c r="Q9" s="117"/>
      <c r="S9" s="138"/>
      <c r="T9" s="135"/>
      <c r="V9" s="110"/>
      <c r="W9" s="97"/>
      <c r="Y9" s="5"/>
      <c r="AB9" s="136">
        <v>23</v>
      </c>
      <c r="AC9" s="136">
        <v>150</v>
      </c>
      <c r="AE9" s="136">
        <v>18</v>
      </c>
      <c r="AF9" s="136">
        <v>70</v>
      </c>
      <c r="AH9" s="136" t="s">
        <v>319</v>
      </c>
      <c r="AI9" s="136" t="s">
        <v>319</v>
      </c>
    </row>
    <row r="10" spans="1:35" x14ac:dyDescent="0.15">
      <c r="A10" s="133"/>
      <c r="B10" s="133"/>
      <c r="D10" s="134"/>
      <c r="E10" s="134"/>
      <c r="G10" s="133"/>
      <c r="H10" s="133"/>
      <c r="J10" s="96"/>
      <c r="K10" s="96"/>
      <c r="M10" s="96"/>
      <c r="N10" s="96"/>
      <c r="P10" s="117"/>
      <c r="Q10" s="117"/>
      <c r="S10" s="138"/>
      <c r="T10" s="135"/>
      <c r="V10" s="110"/>
      <c r="W10" s="97"/>
      <c r="Y10" s="5"/>
      <c r="AB10" s="136">
        <v>23</v>
      </c>
      <c r="AC10" s="136">
        <v>150</v>
      </c>
      <c r="AE10" s="136">
        <v>18</v>
      </c>
      <c r="AF10" s="136">
        <v>70</v>
      </c>
      <c r="AH10" s="136" t="s">
        <v>319</v>
      </c>
      <c r="AI10" s="136" t="s">
        <v>319</v>
      </c>
    </row>
    <row r="11" spans="1:35" x14ac:dyDescent="0.15">
      <c r="A11" s="133"/>
      <c r="B11" s="133"/>
      <c r="D11" s="134"/>
      <c r="E11" s="134"/>
      <c r="G11" s="133"/>
      <c r="H11" s="133"/>
      <c r="J11" s="96"/>
      <c r="K11" s="96"/>
      <c r="M11" s="96"/>
      <c r="N11" s="96"/>
      <c r="P11" s="117"/>
      <c r="Q11" s="117"/>
      <c r="S11" s="138"/>
      <c r="T11" s="135"/>
      <c r="V11" s="110"/>
      <c r="W11" s="97"/>
      <c r="Y11" s="5"/>
      <c r="AB11" s="135"/>
      <c r="AC11" s="135"/>
      <c r="AE11" s="135"/>
      <c r="AF11" s="135"/>
      <c r="AH11" s="116"/>
      <c r="AI11" s="116"/>
    </row>
    <row r="12" spans="1:35" x14ac:dyDescent="0.15">
      <c r="A12" s="133"/>
      <c r="B12" s="133"/>
      <c r="D12" s="134"/>
      <c r="E12" s="134"/>
      <c r="G12" s="133"/>
      <c r="H12" s="133"/>
      <c r="J12" s="96"/>
      <c r="K12" s="96"/>
      <c r="M12" s="96"/>
      <c r="N12" s="96"/>
      <c r="P12" s="117"/>
      <c r="Q12" s="117"/>
      <c r="S12" s="138"/>
      <c r="T12" s="135"/>
      <c r="V12" s="110"/>
      <c r="W12" s="97"/>
      <c r="Y12" s="5"/>
      <c r="AB12" s="136">
        <v>23</v>
      </c>
      <c r="AC12" s="136">
        <v>150</v>
      </c>
      <c r="AE12" s="136">
        <v>18</v>
      </c>
      <c r="AF12" s="136">
        <v>70</v>
      </c>
      <c r="AH12" s="126">
        <v>31.25</v>
      </c>
      <c r="AI12" s="126">
        <v>150</v>
      </c>
    </row>
    <row r="13" spans="1:35" x14ac:dyDescent="0.15">
      <c r="A13" s="133"/>
      <c r="B13" s="133"/>
      <c r="D13" s="134"/>
      <c r="E13" s="134"/>
      <c r="G13" s="133"/>
      <c r="H13" s="133"/>
      <c r="J13" s="96"/>
      <c r="K13" s="96"/>
      <c r="M13" s="96"/>
      <c r="N13" s="96"/>
      <c r="P13" s="117"/>
      <c r="Q13" s="117"/>
      <c r="S13" s="115">
        <v>23</v>
      </c>
      <c r="T13" s="115">
        <v>150</v>
      </c>
      <c r="V13" s="115" t="s">
        <v>319</v>
      </c>
      <c r="W13" s="115" t="s">
        <v>319</v>
      </c>
      <c r="Y13" s="123" t="s">
        <v>319</v>
      </c>
      <c r="Z13" s="123" t="s">
        <v>319</v>
      </c>
      <c r="AB13" s="135"/>
      <c r="AC13" s="135"/>
      <c r="AE13" s="135"/>
      <c r="AF13" s="135"/>
      <c r="AH13" s="116"/>
      <c r="AI13" s="116"/>
    </row>
    <row r="14" spans="1:35" x14ac:dyDescent="0.15">
      <c r="A14" s="133"/>
      <c r="B14" s="133"/>
      <c r="D14" s="134"/>
      <c r="E14" s="134"/>
      <c r="G14" s="133"/>
      <c r="H14" s="133"/>
      <c r="J14" s="96"/>
      <c r="K14" s="96"/>
      <c r="M14" s="96"/>
      <c r="N14" s="96"/>
      <c r="P14" s="117"/>
      <c r="Q14" s="117"/>
      <c r="S14" s="142"/>
      <c r="T14" s="116"/>
      <c r="V14" s="110"/>
      <c r="W14" s="97"/>
      <c r="Y14" s="5"/>
      <c r="AB14" s="136">
        <v>23</v>
      </c>
      <c r="AC14" s="136">
        <v>150</v>
      </c>
      <c r="AE14" s="136">
        <v>18</v>
      </c>
      <c r="AF14" s="136">
        <v>70</v>
      </c>
      <c r="AH14" s="126">
        <v>31.25</v>
      </c>
      <c r="AI14" s="136">
        <v>400</v>
      </c>
    </row>
    <row r="15" spans="1:35" x14ac:dyDescent="0.15">
      <c r="A15" s="133"/>
      <c r="B15" s="133"/>
      <c r="D15" s="134"/>
      <c r="E15" s="134"/>
      <c r="G15" s="133"/>
      <c r="H15" s="133"/>
      <c r="J15" s="96"/>
      <c r="K15" s="96"/>
      <c r="M15" s="96"/>
      <c r="N15" s="96"/>
      <c r="P15" s="117"/>
      <c r="Q15" s="117"/>
      <c r="S15" s="126">
        <v>46</v>
      </c>
      <c r="T15" s="126">
        <v>300</v>
      </c>
      <c r="V15" s="127">
        <v>18</v>
      </c>
      <c r="W15" s="127">
        <v>70</v>
      </c>
      <c r="Y15" s="127">
        <v>31.25</v>
      </c>
      <c r="Z15" s="127">
        <v>500</v>
      </c>
      <c r="AB15" s="135"/>
      <c r="AC15" s="135"/>
      <c r="AE15" s="135"/>
      <c r="AF15" s="135"/>
      <c r="AH15" s="116"/>
      <c r="AI15" s="116"/>
    </row>
    <row r="16" spans="1:35" x14ac:dyDescent="0.15">
      <c r="A16" s="133"/>
      <c r="B16" s="133"/>
      <c r="D16" s="134"/>
      <c r="E16" s="134"/>
      <c r="G16" s="133"/>
      <c r="H16" s="133"/>
      <c r="J16" s="96"/>
      <c r="K16" s="96"/>
      <c r="M16" s="96"/>
      <c r="N16" s="96"/>
      <c r="P16" s="117"/>
      <c r="Q16" s="117"/>
      <c r="AB16" s="136">
        <v>23</v>
      </c>
      <c r="AC16" s="136">
        <v>150</v>
      </c>
      <c r="AE16" s="136">
        <v>18</v>
      </c>
      <c r="AF16" s="136">
        <v>70</v>
      </c>
      <c r="AH16" s="126">
        <v>31.25</v>
      </c>
      <c r="AI16" s="136">
        <v>400</v>
      </c>
    </row>
    <row r="17" spans="1:35" x14ac:dyDescent="0.15">
      <c r="A17" s="133"/>
      <c r="B17" s="133"/>
      <c r="D17" s="134"/>
      <c r="E17" s="134"/>
      <c r="G17" s="133"/>
      <c r="H17" s="133"/>
      <c r="J17" s="96"/>
      <c r="K17" s="96"/>
      <c r="M17" s="96"/>
      <c r="N17" s="96"/>
      <c r="P17" s="117"/>
      <c r="Q17" s="117"/>
      <c r="AB17" s="135"/>
      <c r="AC17" s="135"/>
      <c r="AE17" s="135"/>
      <c r="AF17" s="135"/>
      <c r="AH17" s="116"/>
      <c r="AI17" s="116"/>
    </row>
    <row r="18" spans="1:35" x14ac:dyDescent="0.15">
      <c r="A18" s="133"/>
      <c r="B18" s="133"/>
      <c r="D18" s="134"/>
      <c r="E18" s="134"/>
      <c r="G18" s="133"/>
      <c r="H18" s="133"/>
      <c r="J18" s="96"/>
      <c r="K18" s="96"/>
      <c r="M18" s="96"/>
      <c r="N18" s="96"/>
      <c r="P18" s="117"/>
      <c r="Q18" s="117"/>
      <c r="AB18" s="136">
        <v>23</v>
      </c>
      <c r="AC18" s="136">
        <v>150</v>
      </c>
      <c r="AE18" s="136">
        <v>18</v>
      </c>
      <c r="AF18" s="136">
        <v>70</v>
      </c>
      <c r="AH18" s="126">
        <v>31.25</v>
      </c>
      <c r="AI18" s="126">
        <v>150</v>
      </c>
    </row>
    <row r="19" spans="1:35" x14ac:dyDescent="0.15">
      <c r="A19" s="133"/>
      <c r="B19" s="133"/>
      <c r="D19" s="134"/>
      <c r="E19" s="134"/>
      <c r="G19" s="133"/>
      <c r="H19" s="133"/>
      <c r="J19" s="96"/>
      <c r="K19" s="96"/>
      <c r="M19" s="96"/>
      <c r="N19" s="96"/>
      <c r="P19" s="117"/>
      <c r="Q19" s="117"/>
      <c r="AB19" s="135"/>
      <c r="AC19" s="135"/>
      <c r="AE19" s="135"/>
      <c r="AF19" s="135"/>
      <c r="AH19" s="116"/>
      <c r="AI19" s="116"/>
    </row>
    <row r="20" spans="1:35" x14ac:dyDescent="0.15">
      <c r="A20" s="133"/>
      <c r="B20" s="133"/>
      <c r="D20" s="134"/>
      <c r="E20" s="134"/>
      <c r="G20" s="133"/>
      <c r="H20" s="133"/>
      <c r="J20" s="96"/>
      <c r="K20" s="96"/>
      <c r="M20" s="96"/>
      <c r="N20" s="96"/>
      <c r="P20" s="117"/>
      <c r="Q20" s="117"/>
      <c r="AB20" s="136">
        <v>23</v>
      </c>
      <c r="AC20" s="136">
        <v>150</v>
      </c>
      <c r="AE20" s="136">
        <v>18</v>
      </c>
      <c r="AF20" s="136">
        <v>70</v>
      </c>
      <c r="AH20" s="126">
        <v>31.25</v>
      </c>
      <c r="AI20" s="136">
        <v>225</v>
      </c>
    </row>
    <row r="21" spans="1:35" x14ac:dyDescent="0.15">
      <c r="A21" s="133"/>
      <c r="B21" s="133"/>
      <c r="D21" s="134"/>
      <c r="E21" s="134"/>
      <c r="G21" s="133"/>
      <c r="H21" s="133"/>
      <c r="J21" s="96"/>
      <c r="K21" s="96"/>
      <c r="M21" s="96"/>
      <c r="N21" s="96"/>
      <c r="P21" s="117"/>
      <c r="Q21" s="117"/>
      <c r="AB21" s="135"/>
      <c r="AC21" s="135"/>
      <c r="AE21" s="135"/>
      <c r="AF21" s="135"/>
      <c r="AH21" s="116"/>
      <c r="AI21" s="116"/>
    </row>
    <row r="22" spans="1:35" x14ac:dyDescent="0.15">
      <c r="A22" s="133"/>
      <c r="B22" s="133"/>
      <c r="D22" s="134"/>
      <c r="E22" s="134"/>
      <c r="G22" s="133"/>
      <c r="H22" s="133"/>
      <c r="J22" s="96"/>
      <c r="K22" s="96"/>
      <c r="M22" s="96"/>
      <c r="N22" s="96"/>
      <c r="P22" s="117"/>
      <c r="Q22" s="117"/>
      <c r="AB22" s="136">
        <v>23</v>
      </c>
      <c r="AC22" s="136">
        <v>150</v>
      </c>
      <c r="AE22" s="136">
        <v>18</v>
      </c>
      <c r="AF22" s="136">
        <v>70</v>
      </c>
      <c r="AH22" s="145">
        <v>31.25</v>
      </c>
      <c r="AI22" s="136">
        <v>150</v>
      </c>
    </row>
    <row r="23" spans="1:35" x14ac:dyDescent="0.15">
      <c r="A23" s="133"/>
      <c r="B23" s="133"/>
      <c r="D23" s="134"/>
      <c r="E23" s="134"/>
      <c r="G23" s="133"/>
      <c r="H23" s="133"/>
      <c r="J23" s="96"/>
      <c r="K23" s="96"/>
      <c r="M23" s="96"/>
      <c r="N23" s="96"/>
      <c r="P23" s="117"/>
      <c r="Q23" s="117"/>
      <c r="AB23" s="135"/>
      <c r="AC23" s="135"/>
      <c r="AE23" s="135"/>
      <c r="AF23" s="135"/>
      <c r="AH23" s="116"/>
      <c r="AI23" s="116"/>
    </row>
    <row r="24" spans="1:35" x14ac:dyDescent="0.15">
      <c r="A24" s="133"/>
      <c r="B24" s="133"/>
      <c r="D24" s="134"/>
      <c r="E24" s="134"/>
      <c r="G24" s="133"/>
      <c r="H24" s="133"/>
      <c r="J24" s="127">
        <v>23</v>
      </c>
      <c r="K24" s="127">
        <v>150</v>
      </c>
      <c r="M24" s="127">
        <v>18</v>
      </c>
      <c r="N24" s="127">
        <v>70</v>
      </c>
      <c r="P24" s="126">
        <v>31.25</v>
      </c>
      <c r="Q24" s="126">
        <v>200</v>
      </c>
      <c r="AB24" s="136">
        <v>23</v>
      </c>
      <c r="AC24" s="136">
        <v>150</v>
      </c>
      <c r="AE24" s="136">
        <v>18</v>
      </c>
      <c r="AF24" s="136">
        <v>70</v>
      </c>
      <c r="AH24" s="136">
        <v>31.25</v>
      </c>
      <c r="AI24" s="136">
        <v>150</v>
      </c>
    </row>
    <row r="25" spans="1:35" x14ac:dyDescent="0.15">
      <c r="A25" s="133"/>
      <c r="B25" s="133"/>
      <c r="D25" s="134"/>
      <c r="E25" s="134"/>
      <c r="G25" s="133"/>
      <c r="H25" s="133"/>
      <c r="J25" s="127">
        <v>23</v>
      </c>
      <c r="K25" s="127">
        <v>150</v>
      </c>
      <c r="M25" s="127">
        <v>18</v>
      </c>
      <c r="N25" s="127">
        <v>70</v>
      </c>
      <c r="P25" s="126">
        <v>31.25</v>
      </c>
      <c r="Q25" s="126">
        <v>100</v>
      </c>
      <c r="AB25" s="135"/>
      <c r="AC25" s="135"/>
      <c r="AE25" s="135"/>
      <c r="AF25" s="135"/>
      <c r="AH25" s="116"/>
      <c r="AI25" s="116"/>
    </row>
    <row r="26" spans="1:35" x14ac:dyDescent="0.15">
      <c r="A26" s="133"/>
      <c r="B26" s="133"/>
      <c r="D26" s="134"/>
      <c r="E26" s="134"/>
      <c r="G26" s="133"/>
      <c r="H26" s="133"/>
      <c r="J26" s="127">
        <v>23</v>
      </c>
      <c r="K26" s="127">
        <v>150</v>
      </c>
      <c r="M26" s="127">
        <v>18</v>
      </c>
      <c r="N26" s="127">
        <v>70</v>
      </c>
      <c r="P26" s="126">
        <v>31.25</v>
      </c>
      <c r="Q26" s="126">
        <v>100</v>
      </c>
      <c r="AB26" s="136">
        <v>23</v>
      </c>
      <c r="AC26" s="136">
        <v>150</v>
      </c>
      <c r="AE26" s="136">
        <v>18</v>
      </c>
      <c r="AF26" s="136">
        <v>70</v>
      </c>
      <c r="AH26" s="136" t="s">
        <v>319</v>
      </c>
      <c r="AI26" s="136" t="s">
        <v>319</v>
      </c>
    </row>
    <row r="27" spans="1:35" x14ac:dyDescent="0.15">
      <c r="A27" s="133"/>
      <c r="B27" s="133"/>
      <c r="D27" s="134"/>
      <c r="E27" s="134"/>
      <c r="G27" s="133"/>
      <c r="H27" s="133"/>
      <c r="J27" s="133" t="s">
        <v>292</v>
      </c>
      <c r="K27" s="133" t="s">
        <v>292</v>
      </c>
      <c r="M27" s="96"/>
      <c r="N27" s="96"/>
      <c r="P27" s="134" t="s">
        <v>292</v>
      </c>
      <c r="Q27" s="134" t="s">
        <v>292</v>
      </c>
      <c r="AB27" s="135"/>
      <c r="AC27" s="135"/>
      <c r="AE27" s="135"/>
      <c r="AF27" s="135"/>
      <c r="AH27" s="116"/>
      <c r="AI27" s="116"/>
    </row>
    <row r="28" spans="1:35" x14ac:dyDescent="0.15">
      <c r="A28" s="133"/>
      <c r="B28" s="133"/>
      <c r="D28" s="134"/>
      <c r="E28" s="134"/>
      <c r="G28" s="133"/>
      <c r="H28" s="133"/>
      <c r="J28" s="96"/>
      <c r="K28" s="96"/>
      <c r="M28" s="96"/>
      <c r="N28" s="96"/>
      <c r="P28" s="117"/>
      <c r="Q28" s="117"/>
      <c r="AB28" s="136">
        <v>23</v>
      </c>
      <c r="AC28" s="136">
        <v>150</v>
      </c>
      <c r="AE28" s="136">
        <v>18</v>
      </c>
      <c r="AF28" s="136">
        <v>70</v>
      </c>
      <c r="AH28" s="136" t="s">
        <v>319</v>
      </c>
      <c r="AI28" s="136" t="s">
        <v>319</v>
      </c>
    </row>
    <row r="29" spans="1:35" x14ac:dyDescent="0.15">
      <c r="A29" s="133"/>
      <c r="B29" s="133"/>
      <c r="D29" s="134"/>
      <c r="E29" s="134"/>
      <c r="G29" s="133"/>
      <c r="H29" s="133"/>
      <c r="J29" s="96"/>
      <c r="K29" s="96"/>
      <c r="M29" s="96"/>
      <c r="N29" s="96"/>
      <c r="P29" s="134" t="s">
        <v>292</v>
      </c>
      <c r="Q29" s="134" t="s">
        <v>292</v>
      </c>
      <c r="AB29" s="136">
        <v>23</v>
      </c>
      <c r="AC29" s="136">
        <v>150</v>
      </c>
      <c r="AE29" s="136">
        <v>18</v>
      </c>
      <c r="AF29" s="136">
        <v>70</v>
      </c>
      <c r="AH29" s="136" t="s">
        <v>319</v>
      </c>
      <c r="AI29" s="136" t="s">
        <v>319</v>
      </c>
    </row>
    <row r="30" spans="1:35" x14ac:dyDescent="0.15">
      <c r="A30" s="133"/>
      <c r="B30" s="133"/>
      <c r="D30" s="134"/>
      <c r="E30" s="134"/>
      <c r="G30" s="133"/>
      <c r="H30" s="133"/>
      <c r="J30" s="96"/>
      <c r="K30" s="96"/>
      <c r="M30" s="96"/>
      <c r="N30" s="96"/>
      <c r="P30" s="117"/>
      <c r="Q30" s="117"/>
      <c r="AB30" s="135"/>
      <c r="AC30" s="135"/>
      <c r="AE30" s="135"/>
      <c r="AF30" s="135"/>
      <c r="AH30" s="116"/>
      <c r="AI30" s="116"/>
    </row>
    <row r="31" spans="1:35" x14ac:dyDescent="0.15">
      <c r="A31" s="133"/>
      <c r="B31" s="133"/>
      <c r="D31" s="134"/>
      <c r="E31" s="134"/>
      <c r="G31" s="133"/>
      <c r="H31" s="133"/>
      <c r="J31" s="96"/>
      <c r="K31" s="96"/>
      <c r="M31" s="96"/>
      <c r="N31" s="96"/>
      <c r="P31" s="117"/>
      <c r="Q31" s="117"/>
      <c r="AB31" s="135"/>
      <c r="AC31" s="135"/>
      <c r="AE31" s="135"/>
      <c r="AF31" s="135"/>
      <c r="AH31" s="116"/>
      <c r="AI31" s="116"/>
    </row>
    <row r="32" spans="1:35" x14ac:dyDescent="0.15">
      <c r="A32" s="133"/>
      <c r="B32" s="133"/>
      <c r="D32" s="134"/>
      <c r="E32" s="134"/>
      <c r="G32" s="133"/>
      <c r="H32" s="133"/>
      <c r="J32" s="96"/>
      <c r="K32" s="96"/>
      <c r="M32" s="96"/>
      <c r="N32" s="96"/>
      <c r="P32" s="117"/>
      <c r="Q32" s="117"/>
      <c r="AB32" s="126">
        <v>299</v>
      </c>
      <c r="AC32" s="126">
        <v>1950</v>
      </c>
      <c r="AE32" s="126">
        <v>234</v>
      </c>
      <c r="AF32" s="126">
        <v>910</v>
      </c>
      <c r="AH32" s="147">
        <v>250</v>
      </c>
      <c r="AI32" s="147">
        <v>2225</v>
      </c>
    </row>
    <row r="33" spans="1:17" x14ac:dyDescent="0.15">
      <c r="A33" s="133"/>
      <c r="B33" s="133"/>
      <c r="D33" s="134"/>
      <c r="E33" s="134"/>
      <c r="G33" s="133"/>
      <c r="H33" s="133"/>
      <c r="J33" s="96"/>
      <c r="K33" s="96"/>
      <c r="M33" s="96"/>
      <c r="N33" s="96"/>
      <c r="P33" s="117"/>
      <c r="Q33" s="117"/>
    </row>
    <row r="34" spans="1:17" x14ac:dyDescent="0.15">
      <c r="A34" s="133"/>
      <c r="B34" s="133"/>
      <c r="D34" s="134"/>
      <c r="E34" s="134"/>
      <c r="G34" s="133"/>
      <c r="H34" s="133"/>
      <c r="J34" s="96"/>
      <c r="K34" s="96"/>
      <c r="M34" s="96"/>
      <c r="N34" s="96"/>
      <c r="P34" s="117"/>
      <c r="Q34" s="117"/>
    </row>
    <row r="35" spans="1:17" x14ac:dyDescent="0.15">
      <c r="A35" s="127">
        <v>23</v>
      </c>
      <c r="B35" s="127">
        <v>150</v>
      </c>
      <c r="D35" s="127">
        <v>18</v>
      </c>
      <c r="E35" s="127">
        <v>70</v>
      </c>
      <c r="G35" s="126">
        <v>31.25</v>
      </c>
      <c r="H35" s="126">
        <v>100</v>
      </c>
      <c r="J35" s="96"/>
      <c r="K35" s="96"/>
      <c r="M35" s="96"/>
      <c r="N35" s="96"/>
      <c r="P35" s="117"/>
      <c r="Q35" s="117"/>
    </row>
    <row r="36" spans="1:17" x14ac:dyDescent="0.15">
      <c r="A36" s="133"/>
      <c r="B36" s="133"/>
      <c r="D36" s="134"/>
      <c r="E36" s="134"/>
      <c r="G36" s="133"/>
      <c r="H36" s="133"/>
      <c r="J36" s="96"/>
      <c r="K36" s="96"/>
      <c r="M36" s="96"/>
      <c r="N36" s="96"/>
      <c r="P36" s="117"/>
      <c r="Q36" s="117"/>
    </row>
    <row r="37" spans="1:17" x14ac:dyDescent="0.15">
      <c r="A37" s="127">
        <v>23</v>
      </c>
      <c r="B37" s="127">
        <v>150</v>
      </c>
      <c r="D37" s="127">
        <v>18</v>
      </c>
      <c r="E37" s="127">
        <v>70</v>
      </c>
      <c r="G37" s="126" t="s">
        <v>319</v>
      </c>
      <c r="H37" s="126" t="s">
        <v>319</v>
      </c>
      <c r="J37" s="96"/>
      <c r="K37" s="96"/>
      <c r="M37" s="96"/>
      <c r="N37" s="96"/>
      <c r="P37" s="117"/>
      <c r="Q37" s="117"/>
    </row>
    <row r="38" spans="1:17" x14ac:dyDescent="0.15">
      <c r="A38" s="133"/>
      <c r="B38" s="133"/>
      <c r="D38" s="134"/>
      <c r="E38" s="134"/>
      <c r="G38" s="133"/>
      <c r="H38" s="133"/>
      <c r="J38" s="96"/>
      <c r="K38" s="96"/>
      <c r="M38" s="96"/>
      <c r="N38" s="96"/>
      <c r="P38" s="117"/>
      <c r="Q38" s="117"/>
    </row>
    <row r="39" spans="1:17" x14ac:dyDescent="0.15">
      <c r="A39" s="127">
        <v>23</v>
      </c>
      <c r="B39" s="127">
        <v>150</v>
      </c>
      <c r="D39" s="127">
        <v>18</v>
      </c>
      <c r="E39" s="127">
        <v>70</v>
      </c>
      <c r="G39" s="126" t="s">
        <v>319</v>
      </c>
      <c r="H39" s="126" t="s">
        <v>319</v>
      </c>
      <c r="J39" s="96"/>
      <c r="K39" s="96"/>
      <c r="M39" s="96"/>
      <c r="N39" s="96"/>
      <c r="P39" s="117"/>
      <c r="Q39" s="117"/>
    </row>
    <row r="40" spans="1:17" x14ac:dyDescent="0.15">
      <c r="A40" s="127">
        <v>23</v>
      </c>
      <c r="B40" s="127">
        <v>150</v>
      </c>
      <c r="D40" s="127">
        <v>18</v>
      </c>
      <c r="E40" s="127">
        <v>70</v>
      </c>
      <c r="G40" s="126">
        <v>31.25</v>
      </c>
      <c r="H40" s="126">
        <v>100</v>
      </c>
      <c r="J40" s="96"/>
      <c r="K40" s="96"/>
      <c r="M40" s="96"/>
      <c r="N40" s="96"/>
      <c r="P40" s="117"/>
      <c r="Q40" s="117"/>
    </row>
    <row r="41" spans="1:17" x14ac:dyDescent="0.15">
      <c r="A41" s="133"/>
      <c r="B41" s="133"/>
      <c r="D41" s="134"/>
      <c r="E41" s="134"/>
      <c r="G41" s="149"/>
      <c r="H41" s="149"/>
      <c r="J41" s="96"/>
      <c r="K41" s="96"/>
      <c r="M41" s="96"/>
      <c r="N41" s="96"/>
      <c r="P41" s="117"/>
      <c r="Q41" s="117"/>
    </row>
    <row r="42" spans="1:17" x14ac:dyDescent="0.15">
      <c r="A42" s="133"/>
      <c r="B42" s="133"/>
      <c r="D42" s="134"/>
      <c r="E42" s="134"/>
      <c r="G42" s="149"/>
      <c r="H42" s="149"/>
      <c r="J42" s="96"/>
      <c r="K42" s="96"/>
      <c r="M42" s="96"/>
      <c r="N42" s="96"/>
      <c r="P42" s="117"/>
      <c r="Q42" s="117"/>
    </row>
    <row r="43" spans="1:17" x14ac:dyDescent="0.15">
      <c r="A43" s="133"/>
      <c r="B43" s="133"/>
      <c r="D43" s="134"/>
      <c r="E43" s="134"/>
      <c r="G43" s="149"/>
      <c r="H43" s="149"/>
      <c r="J43" s="96"/>
      <c r="K43" s="96"/>
      <c r="M43" s="96"/>
      <c r="N43" s="96"/>
      <c r="P43" s="134" t="s">
        <v>292</v>
      </c>
      <c r="Q43" s="134" t="s">
        <v>292</v>
      </c>
    </row>
    <row r="44" spans="1:17" x14ac:dyDescent="0.15">
      <c r="A44" s="133"/>
      <c r="B44" s="133"/>
      <c r="D44" s="134"/>
      <c r="E44" s="134"/>
      <c r="G44" s="149"/>
      <c r="H44" s="149"/>
      <c r="J44" s="96"/>
      <c r="K44" s="96"/>
      <c r="M44" s="96"/>
      <c r="N44" s="96"/>
      <c r="P44" s="117"/>
      <c r="Q44" s="117"/>
    </row>
    <row r="45" spans="1:17" x14ac:dyDescent="0.15">
      <c r="A45" s="133"/>
      <c r="B45" s="133"/>
      <c r="D45" s="134"/>
      <c r="E45" s="134"/>
      <c r="G45" s="149"/>
      <c r="H45" s="149"/>
      <c r="J45" s="96"/>
      <c r="K45" s="96"/>
      <c r="M45" s="96"/>
      <c r="N45" s="96"/>
      <c r="P45" s="117"/>
      <c r="Q45" s="117"/>
    </row>
    <row r="46" spans="1:17" x14ac:dyDescent="0.15">
      <c r="A46" s="133"/>
      <c r="B46" s="133"/>
      <c r="D46" s="134"/>
      <c r="E46" s="134"/>
      <c r="G46" s="149"/>
      <c r="H46" s="149"/>
      <c r="J46" s="96"/>
      <c r="K46" s="96"/>
      <c r="M46" s="96"/>
      <c r="N46" s="96"/>
      <c r="P46" s="117"/>
      <c r="Q46" s="117"/>
    </row>
    <row r="47" spans="1:17" x14ac:dyDescent="0.15">
      <c r="A47" s="133"/>
      <c r="B47" s="133"/>
      <c r="D47" s="134"/>
      <c r="E47" s="134"/>
      <c r="G47" s="149"/>
      <c r="H47" s="149"/>
      <c r="J47" s="96"/>
      <c r="K47" s="96"/>
      <c r="M47" s="96"/>
      <c r="N47" s="96"/>
      <c r="P47" s="117"/>
      <c r="Q47" s="117"/>
    </row>
    <row r="48" spans="1:17" x14ac:dyDescent="0.15">
      <c r="A48" s="133"/>
      <c r="B48" s="133"/>
      <c r="D48" s="134"/>
      <c r="E48" s="134"/>
      <c r="G48" s="149"/>
      <c r="H48" s="149"/>
      <c r="J48" s="96"/>
      <c r="K48" s="96"/>
      <c r="M48" s="96"/>
      <c r="N48" s="96"/>
      <c r="P48" s="117"/>
      <c r="Q48" s="117"/>
    </row>
    <row r="49" spans="1:17" x14ac:dyDescent="0.15">
      <c r="A49" s="133"/>
      <c r="B49" s="133"/>
      <c r="D49" s="134"/>
      <c r="E49" s="134"/>
      <c r="G49" s="149"/>
      <c r="H49" s="149"/>
      <c r="J49" s="96"/>
      <c r="K49" s="96"/>
      <c r="M49" s="96"/>
      <c r="N49" s="96"/>
      <c r="P49" s="117"/>
      <c r="Q49" s="117"/>
    </row>
    <row r="50" spans="1:17" x14ac:dyDescent="0.15">
      <c r="A50" s="133"/>
      <c r="B50" s="133"/>
      <c r="D50" s="134"/>
      <c r="E50" s="134"/>
      <c r="G50" s="149"/>
      <c r="H50" s="149"/>
      <c r="J50" s="96"/>
      <c r="K50" s="96"/>
      <c r="M50" s="96"/>
      <c r="N50" s="96"/>
      <c r="P50" s="117"/>
      <c r="Q50" s="117"/>
    </row>
    <row r="51" spans="1:17" x14ac:dyDescent="0.15">
      <c r="A51" s="133"/>
      <c r="B51" s="133"/>
      <c r="D51" s="134"/>
      <c r="E51" s="134"/>
      <c r="G51" s="149"/>
      <c r="H51" s="149"/>
      <c r="J51" s="96"/>
      <c r="K51" s="96"/>
      <c r="M51" s="96"/>
      <c r="N51" s="96"/>
      <c r="P51" s="117"/>
      <c r="Q51" s="117"/>
    </row>
    <row r="52" spans="1:17" x14ac:dyDescent="0.15">
      <c r="A52" s="133"/>
      <c r="B52" s="133"/>
      <c r="D52" s="134"/>
      <c r="E52" s="134"/>
      <c r="G52" s="149"/>
      <c r="H52" s="149"/>
      <c r="J52" s="96"/>
      <c r="K52" s="96"/>
      <c r="M52" s="96"/>
      <c r="N52" s="96"/>
      <c r="P52" s="117"/>
      <c r="Q52" s="117"/>
    </row>
    <row r="53" spans="1:17" x14ac:dyDescent="0.15">
      <c r="A53" s="133"/>
      <c r="B53" s="133"/>
      <c r="D53" s="134"/>
      <c r="E53" s="134"/>
      <c r="G53" s="149"/>
      <c r="H53" s="149"/>
      <c r="J53" s="96"/>
      <c r="K53" s="96"/>
      <c r="M53" s="96"/>
      <c r="N53" s="96"/>
      <c r="P53" s="134" t="s">
        <v>292</v>
      </c>
      <c r="Q53" s="134" t="s">
        <v>292</v>
      </c>
    </row>
    <row r="54" spans="1:17" x14ac:dyDescent="0.15">
      <c r="A54" s="133"/>
      <c r="B54" s="133"/>
      <c r="D54" s="134"/>
      <c r="E54" s="134"/>
      <c r="G54" s="149"/>
      <c r="H54" s="149"/>
      <c r="J54" s="96"/>
      <c r="K54" s="96"/>
      <c r="M54" s="96"/>
      <c r="N54" s="96"/>
      <c r="P54" s="117"/>
      <c r="Q54" s="117"/>
    </row>
    <row r="55" spans="1:17" x14ac:dyDescent="0.15">
      <c r="A55" s="133"/>
      <c r="B55" s="133"/>
      <c r="D55" s="134"/>
      <c r="E55" s="134"/>
      <c r="G55" s="149"/>
      <c r="H55" s="149"/>
      <c r="J55" s="96"/>
      <c r="K55" s="96"/>
      <c r="M55" s="96"/>
      <c r="N55" s="96"/>
      <c r="P55" s="117"/>
      <c r="Q55" s="117"/>
    </row>
    <row r="56" spans="1:17" x14ac:dyDescent="0.15">
      <c r="A56" s="133"/>
      <c r="B56" s="133"/>
      <c r="D56" s="134"/>
      <c r="E56" s="134"/>
      <c r="G56" s="149"/>
      <c r="H56" s="149"/>
      <c r="J56" s="96"/>
      <c r="K56" s="96"/>
      <c r="M56" s="96"/>
      <c r="N56" s="96"/>
      <c r="P56" s="117"/>
      <c r="Q56" s="117"/>
    </row>
    <row r="57" spans="1:17" x14ac:dyDescent="0.15">
      <c r="A57" s="133"/>
      <c r="B57" s="133"/>
      <c r="D57" s="134"/>
      <c r="E57" s="134"/>
      <c r="G57" s="149"/>
      <c r="H57" s="149"/>
      <c r="J57" s="127">
        <v>23</v>
      </c>
      <c r="K57" s="127">
        <v>150</v>
      </c>
      <c r="M57" s="127">
        <v>18</v>
      </c>
      <c r="N57" s="127">
        <v>70</v>
      </c>
      <c r="P57" s="126">
        <v>31.25</v>
      </c>
      <c r="Q57" s="126">
        <v>200</v>
      </c>
    </row>
    <row r="58" spans="1:17" x14ac:dyDescent="0.15">
      <c r="A58" s="133"/>
      <c r="B58" s="133"/>
      <c r="D58" s="134"/>
      <c r="E58" s="134"/>
      <c r="G58" s="149"/>
      <c r="H58" s="149"/>
      <c r="J58" s="96"/>
      <c r="K58" s="96"/>
      <c r="M58" s="96"/>
      <c r="N58" s="96"/>
      <c r="P58" s="117"/>
      <c r="Q58" s="117"/>
    </row>
    <row r="59" spans="1:17" x14ac:dyDescent="0.15">
      <c r="A59" s="133"/>
      <c r="B59" s="133"/>
      <c r="D59" s="134"/>
      <c r="E59" s="134"/>
      <c r="G59" s="149"/>
      <c r="H59" s="149"/>
      <c r="J59" s="96"/>
      <c r="K59" s="96"/>
      <c r="M59" s="96"/>
      <c r="N59" s="96"/>
      <c r="P59" s="117"/>
      <c r="Q59" s="117"/>
    </row>
    <row r="60" spans="1:17" x14ac:dyDescent="0.15">
      <c r="A60" s="133"/>
      <c r="B60" s="133"/>
      <c r="D60" s="134"/>
      <c r="E60" s="134"/>
      <c r="G60" s="149"/>
      <c r="H60" s="149"/>
      <c r="J60" s="96"/>
      <c r="K60" s="96"/>
      <c r="M60" s="96"/>
      <c r="N60" s="96"/>
      <c r="P60" s="117"/>
      <c r="Q60" s="117"/>
    </row>
    <row r="61" spans="1:17" x14ac:dyDescent="0.15">
      <c r="A61" s="133"/>
      <c r="B61" s="133"/>
      <c r="D61" s="134"/>
      <c r="E61" s="134"/>
      <c r="G61" s="149"/>
      <c r="H61" s="149"/>
      <c r="J61" s="96"/>
      <c r="K61" s="96"/>
      <c r="M61" s="96"/>
      <c r="N61" s="96"/>
      <c r="P61" s="117"/>
      <c r="Q61" s="117"/>
    </row>
    <row r="62" spans="1:17" x14ac:dyDescent="0.15">
      <c r="A62" s="133"/>
      <c r="B62" s="133"/>
      <c r="D62" s="134"/>
      <c r="E62" s="134"/>
      <c r="G62" s="149"/>
      <c r="H62" s="149"/>
      <c r="J62" s="97"/>
      <c r="K62" s="97"/>
      <c r="M62" s="97"/>
      <c r="N62" s="97"/>
    </row>
    <row r="63" spans="1:17" x14ac:dyDescent="0.15">
      <c r="A63" s="133"/>
      <c r="B63" s="133"/>
      <c r="D63" s="134"/>
      <c r="E63" s="134"/>
      <c r="G63" s="149"/>
      <c r="H63" s="149"/>
      <c r="J63" s="127">
        <v>92</v>
      </c>
      <c r="K63" s="127">
        <v>600</v>
      </c>
      <c r="M63" s="127">
        <v>72</v>
      </c>
      <c r="N63" s="127">
        <v>280</v>
      </c>
      <c r="P63" s="121">
        <v>125</v>
      </c>
      <c r="Q63" s="121">
        <v>600</v>
      </c>
    </row>
    <row r="64" spans="1:17" x14ac:dyDescent="0.15">
      <c r="A64" s="133"/>
      <c r="B64" s="133"/>
      <c r="D64" s="134"/>
      <c r="E64" s="134"/>
      <c r="G64" s="149"/>
      <c r="H64" s="149"/>
    </row>
    <row r="65" spans="1:8" x14ac:dyDescent="0.15">
      <c r="A65" s="133"/>
      <c r="B65" s="133"/>
      <c r="D65" s="134"/>
      <c r="E65" s="134"/>
      <c r="G65" s="149"/>
      <c r="H65" s="149"/>
    </row>
    <row r="66" spans="1:8" x14ac:dyDescent="0.15">
      <c r="A66" s="133"/>
      <c r="B66" s="133"/>
      <c r="D66" s="134"/>
      <c r="E66" s="134"/>
      <c r="G66" s="149"/>
      <c r="H66" s="149"/>
    </row>
    <row r="67" spans="1:8" x14ac:dyDescent="0.15">
      <c r="A67" s="127">
        <v>23</v>
      </c>
      <c r="B67" s="127">
        <v>150</v>
      </c>
      <c r="D67" s="127">
        <v>18</v>
      </c>
      <c r="E67" s="127">
        <v>70</v>
      </c>
      <c r="G67" s="126">
        <v>31.25</v>
      </c>
      <c r="H67" s="126">
        <v>600</v>
      </c>
    </row>
    <row r="68" spans="1:8" x14ac:dyDescent="0.15">
      <c r="A68" s="133"/>
      <c r="B68" s="133"/>
      <c r="D68" s="134"/>
      <c r="E68" s="134"/>
      <c r="G68" s="133"/>
      <c r="H68" s="133"/>
    </row>
    <row r="69" spans="1:8" x14ac:dyDescent="0.15">
      <c r="A69" s="133"/>
      <c r="B69" s="133"/>
      <c r="D69" s="134"/>
      <c r="E69" s="134"/>
      <c r="G69" s="133"/>
      <c r="H69" s="133"/>
    </row>
    <row r="70" spans="1:8" x14ac:dyDescent="0.15">
      <c r="A70" s="133"/>
      <c r="B70" s="133"/>
      <c r="D70" s="134"/>
      <c r="E70" s="134"/>
      <c r="G70" s="133"/>
      <c r="H70" s="133"/>
    </row>
    <row r="71" spans="1:8" x14ac:dyDescent="0.15">
      <c r="A71" s="133"/>
      <c r="B71" s="133"/>
      <c r="D71" s="134"/>
      <c r="E71" s="134"/>
      <c r="G71" s="133"/>
      <c r="H71" s="133"/>
    </row>
    <row r="72" spans="1:8" x14ac:dyDescent="0.15">
      <c r="A72" s="133"/>
      <c r="B72" s="133"/>
      <c r="D72" s="134"/>
      <c r="E72" s="134"/>
      <c r="G72" s="133"/>
      <c r="H72" s="133"/>
    </row>
    <row r="73" spans="1:8" x14ac:dyDescent="0.15">
      <c r="A73" s="133"/>
      <c r="B73" s="133"/>
      <c r="D73" s="134"/>
      <c r="E73" s="134"/>
      <c r="G73" s="133"/>
      <c r="H73" s="133"/>
    </row>
    <row r="74" spans="1:8" x14ac:dyDescent="0.15">
      <c r="A74" s="133"/>
      <c r="B74" s="133"/>
      <c r="D74" s="134"/>
      <c r="E74" s="134"/>
      <c r="G74" s="133"/>
      <c r="H74" s="133"/>
    </row>
    <row r="75" spans="1:8" x14ac:dyDescent="0.15">
      <c r="A75" s="133"/>
      <c r="B75" s="133"/>
      <c r="D75" s="134"/>
      <c r="E75" s="134"/>
      <c r="G75" s="133"/>
      <c r="H75" s="133"/>
    </row>
    <row r="76" spans="1:8" x14ac:dyDescent="0.15">
      <c r="A76" s="133"/>
      <c r="B76" s="133"/>
      <c r="D76" s="134"/>
      <c r="E76" s="134"/>
      <c r="G76" s="133"/>
      <c r="H76" s="133"/>
    </row>
    <row r="77" spans="1:8" x14ac:dyDescent="0.15">
      <c r="A77" s="133"/>
      <c r="B77" s="133"/>
      <c r="D77" s="134"/>
      <c r="E77" s="134"/>
      <c r="G77" s="133"/>
      <c r="H77" s="133"/>
    </row>
    <row r="78" spans="1:8" x14ac:dyDescent="0.15">
      <c r="A78" s="133"/>
      <c r="B78" s="133"/>
      <c r="D78" s="134"/>
      <c r="E78" s="134"/>
      <c r="G78" s="133"/>
      <c r="H78" s="133"/>
    </row>
    <row r="79" spans="1:8" x14ac:dyDescent="0.15">
      <c r="A79" s="133"/>
      <c r="B79" s="133"/>
      <c r="D79" s="134"/>
      <c r="E79" s="134"/>
      <c r="G79" s="133"/>
      <c r="H79" s="133"/>
    </row>
    <row r="80" spans="1:8" x14ac:dyDescent="0.15">
      <c r="A80" s="133"/>
      <c r="B80" s="133"/>
      <c r="D80" s="134"/>
      <c r="E80" s="134"/>
      <c r="G80" s="133"/>
      <c r="H80" s="133"/>
    </row>
    <row r="81" spans="1:12" x14ac:dyDescent="0.15">
      <c r="A81" s="133"/>
      <c r="B81" s="133"/>
      <c r="D81" s="134"/>
      <c r="E81" s="134"/>
      <c r="G81" s="133"/>
      <c r="H81" s="133"/>
    </row>
    <row r="82" spans="1:12" x14ac:dyDescent="0.15">
      <c r="A82" s="133"/>
      <c r="B82" s="133"/>
      <c r="D82" s="134"/>
      <c r="E82" s="134"/>
      <c r="G82" s="133"/>
      <c r="H82" s="133"/>
    </row>
    <row r="83" spans="1:12" x14ac:dyDescent="0.15">
      <c r="A83" s="133"/>
      <c r="B83" s="133"/>
      <c r="D83" s="134"/>
      <c r="E83" s="134"/>
      <c r="G83" s="133"/>
      <c r="H83" s="133"/>
    </row>
    <row r="84" spans="1:12" x14ac:dyDescent="0.15">
      <c r="A84" s="133"/>
      <c r="B84" s="133"/>
      <c r="D84" s="134"/>
      <c r="E84" s="134"/>
      <c r="G84" s="133"/>
      <c r="H84" s="133"/>
    </row>
    <row r="85" spans="1:12" x14ac:dyDescent="0.15">
      <c r="A85" s="133"/>
      <c r="B85" s="133"/>
      <c r="D85" s="134"/>
      <c r="E85" s="134"/>
      <c r="G85" s="133"/>
      <c r="H85" s="133"/>
    </row>
    <row r="86" spans="1:12" x14ac:dyDescent="0.15">
      <c r="A86" s="133"/>
      <c r="B86" s="133"/>
      <c r="D86" s="134"/>
      <c r="E86" s="134"/>
      <c r="G86" s="133"/>
      <c r="H86" s="133"/>
    </row>
    <row r="87" spans="1:12" x14ac:dyDescent="0.15">
      <c r="A87" s="96"/>
      <c r="B87" s="96"/>
      <c r="D87" s="96"/>
      <c r="E87" s="96"/>
      <c r="G87" s="133"/>
      <c r="H87" s="133"/>
    </row>
    <row r="88" spans="1:12" x14ac:dyDescent="0.15">
      <c r="A88" s="127">
        <v>115</v>
      </c>
      <c r="B88" s="127">
        <v>750</v>
      </c>
      <c r="D88" s="127">
        <v>90</v>
      </c>
      <c r="E88" s="127">
        <v>350</v>
      </c>
      <c r="G88" s="126">
        <v>93.75</v>
      </c>
      <c r="H88" s="126">
        <v>800</v>
      </c>
    </row>
    <row r="93" spans="1:12" x14ac:dyDescent="0.15">
      <c r="B93" s="150" t="s">
        <v>345</v>
      </c>
      <c r="C93" s="150" t="s">
        <v>334</v>
      </c>
      <c r="D93" s="150" t="s">
        <v>335</v>
      </c>
      <c r="E93" s="150" t="s">
        <v>340</v>
      </c>
      <c r="I93" s="150" t="s">
        <v>346</v>
      </c>
      <c r="J93" s="150" t="s">
        <v>334</v>
      </c>
      <c r="K93" s="150" t="s">
        <v>335</v>
      </c>
      <c r="L93" s="150" t="s">
        <v>340</v>
      </c>
    </row>
    <row r="94" spans="1:12" x14ac:dyDescent="0.15">
      <c r="B94" s="150" t="s">
        <v>337</v>
      </c>
      <c r="C94" s="150">
        <v>28</v>
      </c>
      <c r="D94" s="150">
        <v>28</v>
      </c>
      <c r="E94" s="150">
        <v>28</v>
      </c>
      <c r="I94" s="150" t="s">
        <v>337</v>
      </c>
      <c r="J94" s="150">
        <v>25</v>
      </c>
      <c r="K94" s="150">
        <v>25</v>
      </c>
      <c r="L94" s="150">
        <v>25</v>
      </c>
    </row>
    <row r="95" spans="1:12" x14ac:dyDescent="0.15">
      <c r="B95" s="150" t="s">
        <v>338</v>
      </c>
      <c r="C95" s="150">
        <v>0</v>
      </c>
      <c r="D95" s="150">
        <v>1</v>
      </c>
      <c r="E95" s="150">
        <v>8</v>
      </c>
      <c r="I95" s="150" t="s">
        <v>338</v>
      </c>
      <c r="J95" s="150">
        <v>0</v>
      </c>
      <c r="K95" s="150">
        <v>1</v>
      </c>
      <c r="L95" s="150">
        <v>8</v>
      </c>
    </row>
    <row r="96" spans="1:12" x14ac:dyDescent="0.15">
      <c r="B96" s="150" t="s">
        <v>339</v>
      </c>
      <c r="C96" s="150">
        <v>28</v>
      </c>
      <c r="D96" s="150">
        <v>27</v>
      </c>
      <c r="E96" s="150">
        <v>20</v>
      </c>
      <c r="I96" s="150" t="s">
        <v>339</v>
      </c>
      <c r="J96" s="150">
        <v>25</v>
      </c>
      <c r="K96" s="150">
        <v>24</v>
      </c>
      <c r="L96" s="150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Vendor Info</vt:lpstr>
      <vt:lpstr>NEW CASTLE COUNTY PRICING</vt:lpstr>
      <vt:lpstr>KENT COUNTY PRICING</vt:lpstr>
      <vt:lpstr>SUSSEX COUNTY PRICING</vt:lpstr>
      <vt:lpstr>Hospitals Pricing</vt:lpstr>
      <vt:lpstr>DOC Pricing</vt:lpstr>
      <vt:lpstr>Fire Extinguishers</vt:lpstr>
      <vt:lpstr>Service Calls</vt:lpstr>
      <vt:lpstr>Hoods</vt:lpstr>
      <vt:lpstr>Delaware Transit</vt:lpstr>
      <vt:lpstr>Delaware Transit Service Calls</vt:lpstr>
      <vt:lpstr>'DOC Pricing'!Print_Area</vt:lpstr>
      <vt:lpstr>'Hospitals Pricing'!Print_Area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bigkahuna</dc:creator>
  <cp:lastModifiedBy>Stafford, Lisa (OMB)</cp:lastModifiedBy>
  <cp:lastPrinted>2013-01-17T15:11:56Z</cp:lastPrinted>
  <dcterms:created xsi:type="dcterms:W3CDTF">2007-09-21T16:17:25Z</dcterms:created>
  <dcterms:modified xsi:type="dcterms:W3CDTF">2021-12-01T20:50:37Z</dcterms:modified>
</cp:coreProperties>
</file>