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de.us\omb\GSS\Contracting\Users\madonna.jacobs\Personal\"/>
    </mc:Choice>
  </mc:AlternateContent>
  <bookViews>
    <workbookView xWindow="480" yWindow="60" windowWidth="18180" windowHeight="6885"/>
  </bookViews>
  <sheets>
    <sheet name="VENDOR CONTACT INFO" sheetId="1" r:id="rId1"/>
    <sheet name="New Castle" sheetId="3" r:id="rId2"/>
    <sheet name="Kent" sheetId="5" r:id="rId3"/>
    <sheet name="Sussex" sheetId="6" r:id="rId4"/>
  </sheets>
  <definedNames>
    <definedName name="_xlnm.Print_Area" localSheetId="1">'New Castle'!$A$2:$AT$53</definedName>
    <definedName name="_xlnm.Print_Area" localSheetId="0">'VENDOR CONTACT INFO'!$A$1:$I$20</definedName>
  </definedNames>
  <calcPr calcId="152511"/>
</workbook>
</file>

<file path=xl/calcChain.xml><?xml version="1.0" encoding="utf-8"?>
<calcChain xmlns="http://schemas.openxmlformats.org/spreadsheetml/2006/main">
  <c r="AP52" i="6" l="1"/>
  <c r="AQ52" i="6" s="1"/>
  <c r="AO52" i="6"/>
  <c r="AN52" i="6"/>
  <c r="AR52" i="6" s="1"/>
  <c r="AS52" i="6" s="1"/>
  <c r="AK52" i="6"/>
  <c r="AH52" i="6"/>
  <c r="AD52" i="6"/>
  <c r="AC52" i="6"/>
  <c r="AB52" i="6"/>
  <c r="X52" i="6"/>
  <c r="Y52" i="6" s="1"/>
  <c r="W52" i="6"/>
  <c r="R52" i="6"/>
  <c r="S52" i="6" s="1"/>
  <c r="Q52" i="6"/>
  <c r="M52" i="6"/>
  <c r="N52" i="6" s="1"/>
  <c r="L52" i="6"/>
  <c r="H52" i="6"/>
  <c r="E52" i="6"/>
  <c r="AR50" i="6"/>
  <c r="AS50" i="6" s="1"/>
  <c r="AU50" i="6" s="1"/>
  <c r="AV50" i="6" s="1"/>
  <c r="AP50" i="6"/>
  <c r="AQ50" i="6" s="1"/>
  <c r="AO50" i="6"/>
  <c r="AN50" i="6"/>
  <c r="AK50" i="6"/>
  <c r="AH50" i="6"/>
  <c r="AC50" i="6"/>
  <c r="AD50" i="6" s="1"/>
  <c r="AB50" i="6"/>
  <c r="Y50" i="6"/>
  <c r="X50" i="6"/>
  <c r="W50" i="6"/>
  <c r="R50" i="6"/>
  <c r="S50" i="6" s="1"/>
  <c r="Q50" i="6"/>
  <c r="M50" i="6"/>
  <c r="N50" i="6" s="1"/>
  <c r="L50" i="6"/>
  <c r="H50" i="6"/>
  <c r="E50" i="6"/>
  <c r="AU49" i="6"/>
  <c r="AV49" i="6" s="1"/>
  <c r="AR49" i="6"/>
  <c r="AS49" i="6" s="1"/>
  <c r="AT49" i="6" s="1"/>
  <c r="AQ49" i="6"/>
  <c r="AN49" i="6"/>
  <c r="AP49" i="6" s="1"/>
  <c r="AK49" i="6"/>
  <c r="AH49" i="6"/>
  <c r="AC49" i="6"/>
  <c r="AD49" i="6" s="1"/>
  <c r="AB49" i="6"/>
  <c r="Y49" i="6"/>
  <c r="X49" i="6"/>
  <c r="W49" i="6"/>
  <c r="S49" i="6"/>
  <c r="R49" i="6"/>
  <c r="Q49" i="6"/>
  <c r="M49" i="6"/>
  <c r="N49" i="6" s="1"/>
  <c r="L49" i="6"/>
  <c r="H49" i="6"/>
  <c r="E49" i="6"/>
  <c r="AN48" i="6"/>
  <c r="AK48" i="6"/>
  <c r="AH48" i="6"/>
  <c r="AC48" i="6"/>
  <c r="AD48" i="6" s="1"/>
  <c r="AB48" i="6"/>
  <c r="X48" i="6"/>
  <c r="Y48" i="6" s="1"/>
  <c r="W48" i="6"/>
  <c r="R48" i="6"/>
  <c r="S48" i="6" s="1"/>
  <c r="Q48" i="6"/>
  <c r="N48" i="6"/>
  <c r="M48" i="6"/>
  <c r="L48" i="6"/>
  <c r="H48" i="6"/>
  <c r="E48" i="6"/>
  <c r="AS47" i="6"/>
  <c r="AU47" i="6" s="1"/>
  <c r="AV47" i="6" s="1"/>
  <c r="AR47" i="6"/>
  <c r="AP47" i="6"/>
  <c r="AQ47" i="6" s="1"/>
  <c r="AO47" i="6"/>
  <c r="AN47" i="6"/>
  <c r="AK47" i="6"/>
  <c r="AH47" i="6"/>
  <c r="AD47" i="6"/>
  <c r="AC47" i="6"/>
  <c r="AB47" i="6"/>
  <c r="X47" i="6"/>
  <c r="Y47" i="6" s="1"/>
  <c r="W47" i="6"/>
  <c r="R47" i="6"/>
  <c r="S47" i="6" s="1"/>
  <c r="Q47" i="6"/>
  <c r="N47" i="6"/>
  <c r="M47" i="6"/>
  <c r="L47" i="6"/>
  <c r="H47" i="6"/>
  <c r="E47" i="6"/>
  <c r="AT46" i="6"/>
  <c r="AP46" i="6"/>
  <c r="AQ46" i="6" s="1"/>
  <c r="AN46" i="6"/>
  <c r="AR46" i="6" s="1"/>
  <c r="AS46" i="6" s="1"/>
  <c r="AU46" i="6" s="1"/>
  <c r="AV46" i="6" s="1"/>
  <c r="AK46" i="6"/>
  <c r="AH46" i="6"/>
  <c r="AD46" i="6"/>
  <c r="AC46" i="6"/>
  <c r="AB46" i="6"/>
  <c r="Y46" i="6"/>
  <c r="X46" i="6"/>
  <c r="W46" i="6"/>
  <c r="R46" i="6"/>
  <c r="S46" i="6" s="1"/>
  <c r="Q46" i="6"/>
  <c r="M46" i="6"/>
  <c r="N46" i="6" s="1"/>
  <c r="L46" i="6"/>
  <c r="H46" i="6"/>
  <c r="E46" i="6"/>
  <c r="AN45" i="6"/>
  <c r="AK45" i="6"/>
  <c r="AH45" i="6"/>
  <c r="AC45" i="6"/>
  <c r="AD45" i="6" s="1"/>
  <c r="AB45" i="6"/>
  <c r="X45" i="6"/>
  <c r="Y45" i="6" s="1"/>
  <c r="W45" i="6"/>
  <c r="S45" i="6"/>
  <c r="R45" i="6"/>
  <c r="Q45" i="6"/>
  <c r="M45" i="6"/>
  <c r="N45" i="6" s="1"/>
  <c r="L45" i="6"/>
  <c r="H45" i="6"/>
  <c r="E45" i="6"/>
  <c r="AN43" i="6"/>
  <c r="AP43" i="6" s="1"/>
  <c r="AQ43" i="6" s="1"/>
  <c r="AK43" i="6"/>
  <c r="AH43" i="6"/>
  <c r="AC43" i="6"/>
  <c r="AD43" i="6" s="1"/>
  <c r="AB43" i="6"/>
  <c r="X43" i="6"/>
  <c r="Y43" i="6" s="1"/>
  <c r="W43" i="6"/>
  <c r="S43" i="6"/>
  <c r="R43" i="6"/>
  <c r="Q43" i="6"/>
  <c r="N43" i="6"/>
  <c r="M43" i="6"/>
  <c r="L43" i="6"/>
  <c r="H43" i="6"/>
  <c r="E43" i="6"/>
  <c r="AS42" i="6"/>
  <c r="AP42" i="6"/>
  <c r="AQ42" i="6" s="1"/>
  <c r="AO42" i="6"/>
  <c r="AN42" i="6"/>
  <c r="AR42" i="6" s="1"/>
  <c r="AK42" i="6"/>
  <c r="AH42" i="6"/>
  <c r="AD42" i="6"/>
  <c r="AC42" i="6"/>
  <c r="AB42" i="6"/>
  <c r="Y42" i="6"/>
  <c r="X42" i="6"/>
  <c r="W42" i="6"/>
  <c r="R42" i="6"/>
  <c r="S42" i="6" s="1"/>
  <c r="Q42" i="6"/>
  <c r="M42" i="6"/>
  <c r="N42" i="6" s="1"/>
  <c r="L42" i="6"/>
  <c r="H42" i="6"/>
  <c r="E42" i="6"/>
  <c r="AR41" i="6"/>
  <c r="AS41" i="6" s="1"/>
  <c r="AU41" i="6" s="1"/>
  <c r="AV41" i="6" s="1"/>
  <c r="AP41" i="6"/>
  <c r="AQ41" i="6" s="1"/>
  <c r="AO41" i="6"/>
  <c r="AN41" i="6"/>
  <c r="AK41" i="6"/>
  <c r="AH41" i="6"/>
  <c r="AC41" i="6"/>
  <c r="AD41" i="6" s="1"/>
  <c r="AB41" i="6"/>
  <c r="Y41" i="6"/>
  <c r="X41" i="6"/>
  <c r="W41" i="6"/>
  <c r="R41" i="6"/>
  <c r="S41" i="6" s="1"/>
  <c r="Q41" i="6"/>
  <c r="M41" i="6"/>
  <c r="N41" i="6" s="1"/>
  <c r="L41" i="6"/>
  <c r="H41" i="6"/>
  <c r="E41" i="6"/>
  <c r="AR40" i="6"/>
  <c r="AS40" i="6" s="1"/>
  <c r="AT40" i="6" s="1"/>
  <c r="AN40" i="6"/>
  <c r="AP40" i="6" s="1"/>
  <c r="AQ40" i="6" s="1"/>
  <c r="AK40" i="6"/>
  <c r="AH40" i="6"/>
  <c r="AC40" i="6"/>
  <c r="AD40" i="6" s="1"/>
  <c r="AB40" i="6"/>
  <c r="Y40" i="6"/>
  <c r="X40" i="6"/>
  <c r="W40" i="6"/>
  <c r="S40" i="6"/>
  <c r="R40" i="6"/>
  <c r="Q40" i="6"/>
  <c r="N40" i="6"/>
  <c r="M40" i="6"/>
  <c r="L40" i="6"/>
  <c r="H40" i="6"/>
  <c r="E40" i="6"/>
  <c r="AN39" i="6"/>
  <c r="AK39" i="6"/>
  <c r="AH39" i="6"/>
  <c r="AC39" i="6"/>
  <c r="AD39" i="6" s="1"/>
  <c r="AB39" i="6"/>
  <c r="X39" i="6"/>
  <c r="Y39" i="6" s="1"/>
  <c r="W39" i="6"/>
  <c r="R39" i="6"/>
  <c r="S39" i="6" s="1"/>
  <c r="Q39" i="6"/>
  <c r="N39" i="6"/>
  <c r="M39" i="6"/>
  <c r="L39" i="6"/>
  <c r="H39" i="6"/>
  <c r="E39" i="6"/>
  <c r="AS38" i="6"/>
  <c r="AU38" i="6" s="1"/>
  <c r="AV38" i="6" s="1"/>
  <c r="AR38" i="6"/>
  <c r="AP38" i="6"/>
  <c r="AQ38" i="6" s="1"/>
  <c r="AO38" i="6"/>
  <c r="AN38" i="6"/>
  <c r="AK38" i="6"/>
  <c r="AH38" i="6"/>
  <c r="AD38" i="6"/>
  <c r="AC38" i="6"/>
  <c r="AB38" i="6"/>
  <c r="X38" i="6"/>
  <c r="Y38" i="6" s="1"/>
  <c r="W38" i="6"/>
  <c r="R38" i="6"/>
  <c r="S38" i="6" s="1"/>
  <c r="Q38" i="6"/>
  <c r="N38" i="6"/>
  <c r="M38" i="6"/>
  <c r="L38" i="6"/>
  <c r="H38" i="6"/>
  <c r="E38" i="6"/>
  <c r="AP36" i="6"/>
  <c r="AQ36" i="6" s="1"/>
  <c r="AN36" i="6"/>
  <c r="AR36" i="6" s="1"/>
  <c r="AS36" i="6" s="1"/>
  <c r="AU36" i="6" s="1"/>
  <c r="AV36" i="6" s="1"/>
  <c r="AK36" i="6"/>
  <c r="AH36" i="6"/>
  <c r="AD36" i="6"/>
  <c r="AC36" i="6"/>
  <c r="AB36" i="6"/>
  <c r="Y36" i="6"/>
  <c r="X36" i="6"/>
  <c r="W36" i="6"/>
  <c r="R36" i="6"/>
  <c r="S36" i="6" s="1"/>
  <c r="Q36" i="6"/>
  <c r="M36" i="6"/>
  <c r="N36" i="6" s="1"/>
  <c r="L36" i="6"/>
  <c r="H36" i="6"/>
  <c r="E36" i="6"/>
  <c r="AN35" i="6"/>
  <c r="AK35" i="6"/>
  <c r="AH35" i="6"/>
  <c r="AC35" i="6"/>
  <c r="AD35" i="6" s="1"/>
  <c r="AB35" i="6"/>
  <c r="X35" i="6"/>
  <c r="Y35" i="6" s="1"/>
  <c r="W35" i="6"/>
  <c r="S35" i="6"/>
  <c r="R35" i="6"/>
  <c r="Q35" i="6"/>
  <c r="M35" i="6"/>
  <c r="N35" i="6" s="1"/>
  <c r="L35" i="6"/>
  <c r="H35" i="6"/>
  <c r="E35" i="6"/>
  <c r="AR34" i="6"/>
  <c r="AS34" i="6" s="1"/>
  <c r="AN34" i="6"/>
  <c r="AP34" i="6" s="1"/>
  <c r="AQ34" i="6" s="1"/>
  <c r="AK34" i="6"/>
  <c r="AH34" i="6"/>
  <c r="AC34" i="6"/>
  <c r="AD34" i="6" s="1"/>
  <c r="AB34" i="6"/>
  <c r="X34" i="6"/>
  <c r="Y34" i="6" s="1"/>
  <c r="W34" i="6"/>
  <c r="S34" i="6"/>
  <c r="R34" i="6"/>
  <c r="Q34" i="6"/>
  <c r="N34" i="6"/>
  <c r="M34" i="6"/>
  <c r="L34" i="6"/>
  <c r="H34" i="6"/>
  <c r="E34" i="6"/>
  <c r="AP33" i="6"/>
  <c r="AQ33" i="6" s="1"/>
  <c r="AO33" i="6"/>
  <c r="AN33" i="6"/>
  <c r="AR33" i="6" s="1"/>
  <c r="AS33" i="6" s="1"/>
  <c r="AK33" i="6"/>
  <c r="AH33" i="6"/>
  <c r="AD33" i="6"/>
  <c r="AC33" i="6"/>
  <c r="AB33" i="6"/>
  <c r="X33" i="6"/>
  <c r="Y33" i="6" s="1"/>
  <c r="W33" i="6"/>
  <c r="R33" i="6"/>
  <c r="S33" i="6" s="1"/>
  <c r="Q33" i="6"/>
  <c r="M33" i="6"/>
  <c r="N33" i="6" s="1"/>
  <c r="L33" i="6"/>
  <c r="H33" i="6"/>
  <c r="E33" i="6"/>
  <c r="AR32" i="6"/>
  <c r="AS32" i="6" s="1"/>
  <c r="AU32" i="6" s="1"/>
  <c r="AV32" i="6" s="1"/>
  <c r="AP32" i="6"/>
  <c r="AQ32" i="6" s="1"/>
  <c r="AN32" i="6"/>
  <c r="AO32" i="6" s="1"/>
  <c r="AK32" i="6"/>
  <c r="AH32" i="6"/>
  <c r="AC32" i="6"/>
  <c r="AD32" i="6" s="1"/>
  <c r="AB32" i="6"/>
  <c r="Y32" i="6"/>
  <c r="X32" i="6"/>
  <c r="W32" i="6"/>
  <c r="R32" i="6"/>
  <c r="S32" i="6" s="1"/>
  <c r="Q32" i="6"/>
  <c r="M32" i="6"/>
  <c r="N32" i="6" s="1"/>
  <c r="L32" i="6"/>
  <c r="H32" i="6"/>
  <c r="E32" i="6"/>
  <c r="AR31" i="6"/>
  <c r="AS31" i="6" s="1"/>
  <c r="AT31" i="6" s="1"/>
  <c r="AN31" i="6"/>
  <c r="AP31" i="6" s="1"/>
  <c r="AQ31" i="6" s="1"/>
  <c r="AK31" i="6"/>
  <c r="AH31" i="6"/>
  <c r="AC31" i="6"/>
  <c r="AD31" i="6" s="1"/>
  <c r="AB31" i="6"/>
  <c r="X31" i="6"/>
  <c r="Y31" i="6" s="1"/>
  <c r="W31" i="6"/>
  <c r="S31" i="6"/>
  <c r="R31" i="6"/>
  <c r="Q31" i="6"/>
  <c r="M31" i="6"/>
  <c r="N31" i="6" s="1"/>
  <c r="L31" i="6"/>
  <c r="H31" i="6"/>
  <c r="E31" i="6"/>
  <c r="N29" i="6"/>
  <c r="M29" i="6"/>
  <c r="L29" i="6"/>
  <c r="E29" i="6"/>
  <c r="AH27" i="6"/>
  <c r="N27" i="6"/>
  <c r="L27" i="6"/>
  <c r="AK25" i="6"/>
  <c r="AH25" i="6"/>
  <c r="R25" i="6"/>
  <c r="S25" i="6" s="1"/>
  <c r="Q25" i="6"/>
  <c r="N25" i="6"/>
  <c r="M25" i="6"/>
  <c r="L25" i="6"/>
  <c r="AK24" i="6"/>
  <c r="AH24" i="6"/>
  <c r="R24" i="6"/>
  <c r="S24" i="6" s="1"/>
  <c r="Q24" i="6"/>
  <c r="N24" i="6"/>
  <c r="M24" i="6"/>
  <c r="L24" i="6"/>
  <c r="AK23" i="6"/>
  <c r="AH23" i="6"/>
  <c r="R23" i="6"/>
  <c r="S23" i="6" s="1"/>
  <c r="Q23" i="6"/>
  <c r="N23" i="6"/>
  <c r="M23" i="6"/>
  <c r="L23" i="6"/>
  <c r="AK22" i="6"/>
  <c r="AH22" i="6"/>
  <c r="R22" i="6"/>
  <c r="S22" i="6" s="1"/>
  <c r="Q22" i="6"/>
  <c r="N22" i="6"/>
  <c r="M22" i="6"/>
  <c r="L22" i="6"/>
  <c r="AQ20" i="6"/>
  <c r="AO20" i="6"/>
  <c r="AH20" i="6"/>
  <c r="N20" i="6"/>
  <c r="L20" i="6"/>
  <c r="E20" i="6"/>
  <c r="AH18" i="6"/>
  <c r="N18" i="6"/>
  <c r="L18" i="6"/>
  <c r="E18" i="6"/>
  <c r="AS16" i="6"/>
  <c r="AU16" i="6" s="1"/>
  <c r="AV16" i="6" s="1"/>
  <c r="AP16" i="6"/>
  <c r="AQ16" i="6" s="1"/>
  <c r="AO16" i="6"/>
  <c r="AN16" i="6"/>
  <c r="AR16" i="6" s="1"/>
  <c r="AK16" i="6"/>
  <c r="AH16" i="6"/>
  <c r="AD16" i="6"/>
  <c r="AC16" i="6"/>
  <c r="AB16" i="6"/>
  <c r="X16" i="6"/>
  <c r="Y16" i="6" s="1"/>
  <c r="W16" i="6"/>
  <c r="R16" i="6"/>
  <c r="S16" i="6" s="1"/>
  <c r="Q16" i="6"/>
  <c r="N16" i="6"/>
  <c r="M16" i="6"/>
  <c r="L16" i="6"/>
  <c r="H16" i="6"/>
  <c r="E16" i="6"/>
  <c r="AT15" i="6"/>
  <c r="AP15" i="6"/>
  <c r="AQ15" i="6" s="1"/>
  <c r="AN15" i="6"/>
  <c r="AR15" i="6" s="1"/>
  <c r="AS15" i="6" s="1"/>
  <c r="AU15" i="6" s="1"/>
  <c r="AV15" i="6" s="1"/>
  <c r="AK15" i="6"/>
  <c r="AH15" i="6"/>
  <c r="AD15" i="6"/>
  <c r="AC15" i="6"/>
  <c r="AB15" i="6"/>
  <c r="Y15" i="6"/>
  <c r="X15" i="6"/>
  <c r="W15" i="6"/>
  <c r="R15" i="6"/>
  <c r="S15" i="6" s="1"/>
  <c r="Q15" i="6"/>
  <c r="M15" i="6"/>
  <c r="N15" i="6" s="1"/>
  <c r="L15" i="6"/>
  <c r="H15" i="6"/>
  <c r="E15" i="6"/>
  <c r="AN14" i="6"/>
  <c r="AK14" i="6"/>
  <c r="AH14" i="6"/>
  <c r="AC14" i="6"/>
  <c r="AD14" i="6" s="1"/>
  <c r="AB14" i="6"/>
  <c r="X14" i="6"/>
  <c r="Y14" i="6" s="1"/>
  <c r="W14" i="6"/>
  <c r="S14" i="6"/>
  <c r="R14" i="6"/>
  <c r="Q14" i="6"/>
  <c r="M14" i="6"/>
  <c r="N14" i="6" s="1"/>
  <c r="L14" i="6"/>
  <c r="H14" i="6"/>
  <c r="E14" i="6"/>
  <c r="AN13" i="6"/>
  <c r="AP13" i="6" s="1"/>
  <c r="AQ13" i="6" s="1"/>
  <c r="AK13" i="6"/>
  <c r="AH13" i="6"/>
  <c r="AC13" i="6"/>
  <c r="AD13" i="6" s="1"/>
  <c r="AB13" i="6"/>
  <c r="X13" i="6"/>
  <c r="Y13" i="6" s="1"/>
  <c r="W13" i="6"/>
  <c r="S13" i="6"/>
  <c r="R13" i="6"/>
  <c r="Q13" i="6"/>
  <c r="N13" i="6"/>
  <c r="M13" i="6"/>
  <c r="L13" i="6"/>
  <c r="H13" i="6"/>
  <c r="E13" i="6"/>
  <c r="AS12" i="6"/>
  <c r="AP12" i="6"/>
  <c r="AQ12" i="6" s="1"/>
  <c r="AO12" i="6"/>
  <c r="AN12" i="6"/>
  <c r="AR12" i="6" s="1"/>
  <c r="AK12" i="6"/>
  <c r="AH12" i="6"/>
  <c r="AD12" i="6"/>
  <c r="AC12" i="6"/>
  <c r="AB12" i="6"/>
  <c r="Y12" i="6"/>
  <c r="X12" i="6"/>
  <c r="W12" i="6"/>
  <c r="R12" i="6"/>
  <c r="S12" i="6" s="1"/>
  <c r="Q12" i="6"/>
  <c r="M12" i="6"/>
  <c r="N12" i="6" s="1"/>
  <c r="L12" i="6"/>
  <c r="H12" i="6"/>
  <c r="E12" i="6"/>
  <c r="AR11" i="6"/>
  <c r="AS11" i="6" s="1"/>
  <c r="AU11" i="6" s="1"/>
  <c r="AV11" i="6" s="1"/>
  <c r="AP11" i="6"/>
  <c r="AQ11" i="6" s="1"/>
  <c r="AN11" i="6"/>
  <c r="AO11" i="6" s="1"/>
  <c r="AK11" i="6"/>
  <c r="AH11" i="6"/>
  <c r="AC11" i="6"/>
  <c r="AD11" i="6" s="1"/>
  <c r="AB11" i="6"/>
  <c r="Y11" i="6"/>
  <c r="X11" i="6"/>
  <c r="W11" i="6"/>
  <c r="R11" i="6"/>
  <c r="S11" i="6" s="1"/>
  <c r="Q11" i="6"/>
  <c r="M11" i="6"/>
  <c r="N11" i="6" s="1"/>
  <c r="L11" i="6"/>
  <c r="H11" i="6"/>
  <c r="E11" i="6"/>
  <c r="AR9" i="6"/>
  <c r="AS9" i="6" s="1"/>
  <c r="AT9" i="6" s="1"/>
  <c r="AN9" i="6"/>
  <c r="AP9" i="6" s="1"/>
  <c r="AQ9" i="6" s="1"/>
  <c r="AK9" i="6"/>
  <c r="AH9" i="6"/>
  <c r="AC9" i="6"/>
  <c r="AD9" i="6" s="1"/>
  <c r="AB9" i="6"/>
  <c r="X9" i="6"/>
  <c r="Y9" i="6" s="1"/>
  <c r="W9" i="6"/>
  <c r="S9" i="6"/>
  <c r="R9" i="6"/>
  <c r="Q9" i="6"/>
  <c r="M9" i="6"/>
  <c r="N9" i="6" s="1"/>
  <c r="L9" i="6"/>
  <c r="H9" i="6"/>
  <c r="E9" i="6"/>
  <c r="AN8" i="6"/>
  <c r="AK8" i="6"/>
  <c r="AH8" i="6"/>
  <c r="AC8" i="6"/>
  <c r="AD8" i="6" s="1"/>
  <c r="AB8" i="6"/>
  <c r="X8" i="6"/>
  <c r="Y8" i="6" s="1"/>
  <c r="W8" i="6"/>
  <c r="R8" i="6"/>
  <c r="S8" i="6" s="1"/>
  <c r="Q8" i="6"/>
  <c r="N8" i="6"/>
  <c r="M8" i="6"/>
  <c r="L8" i="6"/>
  <c r="H8" i="6"/>
  <c r="E8" i="6"/>
  <c r="AP7" i="6"/>
  <c r="AQ7" i="6" s="1"/>
  <c r="AO7" i="6"/>
  <c r="AN7" i="6"/>
  <c r="AR7" i="6" s="1"/>
  <c r="AS7" i="6" s="1"/>
  <c r="AK7" i="6"/>
  <c r="AH7" i="6"/>
  <c r="AD7" i="6"/>
  <c r="AC7" i="6"/>
  <c r="AB7" i="6"/>
  <c r="X7" i="6"/>
  <c r="Y7" i="6" s="1"/>
  <c r="W7" i="6"/>
  <c r="R7" i="6"/>
  <c r="S7" i="6" s="1"/>
  <c r="Q7" i="6"/>
  <c r="M7" i="6"/>
  <c r="N7" i="6" s="1"/>
  <c r="L7" i="6"/>
  <c r="H7" i="6"/>
  <c r="E7" i="6"/>
  <c r="AP6" i="6"/>
  <c r="AQ6" i="6" s="1"/>
  <c r="AN6" i="6"/>
  <c r="AK6" i="6"/>
  <c r="AH6" i="6"/>
  <c r="AC6" i="6"/>
  <c r="AD6" i="6" s="1"/>
  <c r="AB6" i="6"/>
  <c r="Y6" i="6"/>
  <c r="X6" i="6"/>
  <c r="W6" i="6"/>
  <c r="R6" i="6"/>
  <c r="S6" i="6" s="1"/>
  <c r="Q6" i="6"/>
  <c r="M6" i="6"/>
  <c r="N6" i="6" s="1"/>
  <c r="L6" i="6"/>
  <c r="H6" i="6"/>
  <c r="E6" i="6"/>
  <c r="AN5" i="6"/>
  <c r="AK5" i="6"/>
  <c r="AH5" i="6"/>
  <c r="AC5" i="6"/>
  <c r="AD5" i="6" s="1"/>
  <c r="AB5" i="6"/>
  <c r="X5" i="6"/>
  <c r="Y5" i="6" s="1"/>
  <c r="W5" i="6"/>
  <c r="S5" i="6"/>
  <c r="R5" i="6"/>
  <c r="Q5" i="6"/>
  <c r="M5" i="6"/>
  <c r="N5" i="6" s="1"/>
  <c r="L5" i="6"/>
  <c r="H5" i="6"/>
  <c r="E5" i="6"/>
  <c r="AN4" i="6"/>
  <c r="AR4" i="6" s="1"/>
  <c r="AS4" i="6" s="1"/>
  <c r="AK4" i="6"/>
  <c r="AH4" i="6"/>
  <c r="AC4" i="6"/>
  <c r="AD4" i="6" s="1"/>
  <c r="AB4" i="6"/>
  <c r="X4" i="6"/>
  <c r="Y4" i="6" s="1"/>
  <c r="W4" i="6"/>
  <c r="R4" i="6"/>
  <c r="S4" i="6" s="1"/>
  <c r="Q4" i="6"/>
  <c r="N4" i="6"/>
  <c r="M4" i="6"/>
  <c r="L4" i="6"/>
  <c r="H4" i="6"/>
  <c r="E4" i="6"/>
  <c r="AR52" i="5"/>
  <c r="AS52" i="5" s="1"/>
  <c r="AQ52" i="5"/>
  <c r="AP52" i="5"/>
  <c r="AO52" i="5"/>
  <c r="AN52" i="5"/>
  <c r="AK52" i="5"/>
  <c r="AH52" i="5"/>
  <c r="AC52" i="5"/>
  <c r="AD52" i="5" s="1"/>
  <c r="AB52" i="5"/>
  <c r="Y52" i="5"/>
  <c r="X52" i="5"/>
  <c r="W52" i="5"/>
  <c r="S52" i="5"/>
  <c r="R52" i="5"/>
  <c r="Q52" i="5"/>
  <c r="M52" i="5"/>
  <c r="N52" i="5" s="1"/>
  <c r="L52" i="5"/>
  <c r="H52" i="5"/>
  <c r="E52" i="5"/>
  <c r="AR50" i="5"/>
  <c r="AS50" i="5" s="1"/>
  <c r="AP50" i="5"/>
  <c r="AQ50" i="5" s="1"/>
  <c r="AO50" i="5"/>
  <c r="AN50" i="5"/>
  <c r="AK50" i="5"/>
  <c r="AH50" i="5"/>
  <c r="AC50" i="5"/>
  <c r="AD50" i="5" s="1"/>
  <c r="AB50" i="5"/>
  <c r="Y50" i="5"/>
  <c r="X50" i="5"/>
  <c r="W50" i="5"/>
  <c r="R50" i="5"/>
  <c r="S50" i="5" s="1"/>
  <c r="Q50" i="5"/>
  <c r="N50" i="5"/>
  <c r="M50" i="5"/>
  <c r="L50" i="5"/>
  <c r="H50" i="5"/>
  <c r="E50" i="5"/>
  <c r="AR49" i="5"/>
  <c r="AS49" i="5" s="1"/>
  <c r="AQ49" i="5"/>
  <c r="AP49" i="5"/>
  <c r="AO49" i="5"/>
  <c r="AN49" i="5"/>
  <c r="AK49" i="5"/>
  <c r="AH49" i="5"/>
  <c r="AC49" i="5"/>
  <c r="AD49" i="5" s="1"/>
  <c r="AB49" i="5"/>
  <c r="Y49" i="5"/>
  <c r="X49" i="5"/>
  <c r="W49" i="5"/>
  <c r="R49" i="5"/>
  <c r="S49" i="5" s="1"/>
  <c r="Q49" i="5"/>
  <c r="M49" i="5"/>
  <c r="N49" i="5" s="1"/>
  <c r="L49" i="5"/>
  <c r="H49" i="5"/>
  <c r="E49" i="5"/>
  <c r="AR48" i="5"/>
  <c r="AS48" i="5" s="1"/>
  <c r="AN48" i="5"/>
  <c r="AP48" i="5" s="1"/>
  <c r="AQ48" i="5" s="1"/>
  <c r="AK48" i="5"/>
  <c r="AH48" i="5"/>
  <c r="AD48" i="5"/>
  <c r="AC48" i="5"/>
  <c r="AB48" i="5"/>
  <c r="Y48" i="5"/>
  <c r="X48" i="5"/>
  <c r="W48" i="5"/>
  <c r="R48" i="5"/>
  <c r="S48" i="5" s="1"/>
  <c r="Q48" i="5"/>
  <c r="N48" i="5"/>
  <c r="M48" i="5"/>
  <c r="L48" i="5"/>
  <c r="H48" i="5"/>
  <c r="E48" i="5"/>
  <c r="AN47" i="5"/>
  <c r="AR47" i="5" s="1"/>
  <c r="AS47" i="5" s="1"/>
  <c r="AK47" i="5"/>
  <c r="AH47" i="5"/>
  <c r="AD47" i="5"/>
  <c r="AC47" i="5"/>
  <c r="AB47" i="5"/>
  <c r="X47" i="5"/>
  <c r="Y47" i="5" s="1"/>
  <c r="W47" i="5"/>
  <c r="S47" i="5"/>
  <c r="R47" i="5"/>
  <c r="Q47" i="5"/>
  <c r="N47" i="5"/>
  <c r="M47" i="5"/>
  <c r="L47" i="5"/>
  <c r="H47" i="5"/>
  <c r="E47" i="5"/>
  <c r="AN46" i="5"/>
  <c r="AK46" i="5"/>
  <c r="AH46" i="5"/>
  <c r="AD46" i="5"/>
  <c r="AC46" i="5"/>
  <c r="AB46" i="5"/>
  <c r="X46" i="5"/>
  <c r="Y46" i="5" s="1"/>
  <c r="W46" i="5"/>
  <c r="R46" i="5"/>
  <c r="S46" i="5" s="1"/>
  <c r="Q46" i="5"/>
  <c r="N46" i="5"/>
  <c r="M46" i="5"/>
  <c r="L46" i="5"/>
  <c r="H46" i="5"/>
  <c r="E46" i="5"/>
  <c r="AN45" i="5"/>
  <c r="AK45" i="5"/>
  <c r="AH45" i="5"/>
  <c r="AD45" i="5"/>
  <c r="AC45" i="5"/>
  <c r="AB45" i="5"/>
  <c r="X45" i="5"/>
  <c r="Y45" i="5" s="1"/>
  <c r="W45" i="5"/>
  <c r="S45" i="5"/>
  <c r="R45" i="5"/>
  <c r="Q45" i="5"/>
  <c r="M45" i="5"/>
  <c r="N45" i="5" s="1"/>
  <c r="L45" i="5"/>
  <c r="H45" i="5"/>
  <c r="E45" i="5"/>
  <c r="AP43" i="5"/>
  <c r="AQ43" i="5" s="1"/>
  <c r="AN43" i="5"/>
  <c r="AR43" i="5" s="1"/>
  <c r="AS43" i="5" s="1"/>
  <c r="AK43" i="5"/>
  <c r="AH43" i="5"/>
  <c r="AC43" i="5"/>
  <c r="AD43" i="5" s="1"/>
  <c r="AB43" i="5"/>
  <c r="X43" i="5"/>
  <c r="Y43" i="5" s="1"/>
  <c r="W43" i="5"/>
  <c r="S43" i="5"/>
  <c r="R43" i="5"/>
  <c r="Q43" i="5"/>
  <c r="M43" i="5"/>
  <c r="N43" i="5" s="1"/>
  <c r="L43" i="5"/>
  <c r="H43" i="5"/>
  <c r="E43" i="5"/>
  <c r="AR42" i="5"/>
  <c r="AS42" i="5" s="1"/>
  <c r="AQ42" i="5"/>
  <c r="AP42" i="5"/>
  <c r="AO42" i="5"/>
  <c r="AN42" i="5"/>
  <c r="AK42" i="5"/>
  <c r="AH42" i="5"/>
  <c r="AC42" i="5"/>
  <c r="AD42" i="5" s="1"/>
  <c r="AB42" i="5"/>
  <c r="Y42" i="5"/>
  <c r="X42" i="5"/>
  <c r="W42" i="5"/>
  <c r="R42" i="5"/>
  <c r="S42" i="5" s="1"/>
  <c r="Q42" i="5"/>
  <c r="M42" i="5"/>
  <c r="N42" i="5" s="1"/>
  <c r="L42" i="5"/>
  <c r="H42" i="5"/>
  <c r="E42" i="5"/>
  <c r="AR41" i="5"/>
  <c r="AS41" i="5" s="1"/>
  <c r="AP41" i="5"/>
  <c r="AQ41" i="5" s="1"/>
  <c r="AO41" i="5"/>
  <c r="AN41" i="5"/>
  <c r="AK41" i="5"/>
  <c r="AH41" i="5"/>
  <c r="AC41" i="5"/>
  <c r="AD41" i="5" s="1"/>
  <c r="AB41" i="5"/>
  <c r="Y41" i="5"/>
  <c r="X41" i="5"/>
  <c r="W41" i="5"/>
  <c r="R41" i="5"/>
  <c r="S41" i="5" s="1"/>
  <c r="Q41" i="5"/>
  <c r="M41" i="5"/>
  <c r="N41" i="5" s="1"/>
  <c r="L41" i="5"/>
  <c r="H41" i="5"/>
  <c r="E41" i="5"/>
  <c r="AR40" i="5"/>
  <c r="AS40" i="5" s="1"/>
  <c r="AQ40" i="5"/>
  <c r="AN40" i="5"/>
  <c r="AP40" i="5" s="1"/>
  <c r="AK40" i="5"/>
  <c r="AH40" i="5"/>
  <c r="AC40" i="5"/>
  <c r="AD40" i="5" s="1"/>
  <c r="AB40" i="5"/>
  <c r="X40" i="5"/>
  <c r="Y40" i="5" s="1"/>
  <c r="W40" i="5"/>
  <c r="R40" i="5"/>
  <c r="S40" i="5" s="1"/>
  <c r="Q40" i="5"/>
  <c r="M40" i="5"/>
  <c r="N40" i="5" s="1"/>
  <c r="L40" i="5"/>
  <c r="H40" i="5"/>
  <c r="E40" i="5"/>
  <c r="AR39" i="5"/>
  <c r="AS39" i="5" s="1"/>
  <c r="AN39" i="5"/>
  <c r="AP39" i="5" s="1"/>
  <c r="AQ39" i="5" s="1"/>
  <c r="AK39" i="5"/>
  <c r="AH39" i="5"/>
  <c r="AC39" i="5"/>
  <c r="AD39" i="5" s="1"/>
  <c r="AB39" i="5"/>
  <c r="X39" i="5"/>
  <c r="Y39" i="5" s="1"/>
  <c r="W39" i="5"/>
  <c r="R39" i="5"/>
  <c r="S39" i="5" s="1"/>
  <c r="Q39" i="5"/>
  <c r="N39" i="5"/>
  <c r="M39" i="5"/>
  <c r="L39" i="5"/>
  <c r="H39" i="5"/>
  <c r="E39" i="5"/>
  <c r="AN38" i="5"/>
  <c r="AR38" i="5" s="1"/>
  <c r="AS38" i="5" s="1"/>
  <c r="AK38" i="5"/>
  <c r="AH38" i="5"/>
  <c r="AD38" i="5"/>
  <c r="AC38" i="5"/>
  <c r="AB38" i="5"/>
  <c r="X38" i="5"/>
  <c r="Y38" i="5" s="1"/>
  <c r="W38" i="5"/>
  <c r="R38" i="5"/>
  <c r="S38" i="5" s="1"/>
  <c r="Q38" i="5"/>
  <c r="M38" i="5"/>
  <c r="N38" i="5" s="1"/>
  <c r="L38" i="5"/>
  <c r="H38" i="5"/>
  <c r="E38" i="5"/>
  <c r="AN36" i="5"/>
  <c r="AK36" i="5"/>
  <c r="AH36" i="5"/>
  <c r="AC36" i="5"/>
  <c r="AD36" i="5" s="1"/>
  <c r="AB36" i="5"/>
  <c r="X36" i="5"/>
  <c r="Y36" i="5" s="1"/>
  <c r="W36" i="5"/>
  <c r="R36" i="5"/>
  <c r="S36" i="5" s="1"/>
  <c r="Q36" i="5"/>
  <c r="M36" i="5"/>
  <c r="N36" i="5" s="1"/>
  <c r="L36" i="5"/>
  <c r="H36" i="5"/>
  <c r="E36" i="5"/>
  <c r="AN35" i="5"/>
  <c r="AK35" i="5"/>
  <c r="AH35" i="5"/>
  <c r="AC35" i="5"/>
  <c r="AD35" i="5" s="1"/>
  <c r="AB35" i="5"/>
  <c r="X35" i="5"/>
  <c r="Y35" i="5" s="1"/>
  <c r="W35" i="5"/>
  <c r="S35" i="5"/>
  <c r="R35" i="5"/>
  <c r="Q35" i="5"/>
  <c r="M35" i="5"/>
  <c r="N35" i="5" s="1"/>
  <c r="L35" i="5"/>
  <c r="H35" i="5"/>
  <c r="E35" i="5"/>
  <c r="AP34" i="5"/>
  <c r="AQ34" i="5" s="1"/>
  <c r="AO34" i="5"/>
  <c r="AN34" i="5"/>
  <c r="AR34" i="5" s="1"/>
  <c r="AS34" i="5" s="1"/>
  <c r="AK34" i="5"/>
  <c r="AH34" i="5"/>
  <c r="AC34" i="5"/>
  <c r="AD34" i="5" s="1"/>
  <c r="AB34" i="5"/>
  <c r="X34" i="5"/>
  <c r="Y34" i="5" s="1"/>
  <c r="W34" i="5"/>
  <c r="R34" i="5"/>
  <c r="S34" i="5" s="1"/>
  <c r="Q34" i="5"/>
  <c r="M34" i="5"/>
  <c r="N34" i="5" s="1"/>
  <c r="L34" i="5"/>
  <c r="H34" i="5"/>
  <c r="E34" i="5"/>
  <c r="AR33" i="5"/>
  <c r="AS33" i="5" s="1"/>
  <c r="AQ33" i="5"/>
  <c r="AP33" i="5"/>
  <c r="AO33" i="5"/>
  <c r="AN33" i="5"/>
  <c r="AK33" i="5"/>
  <c r="AH33" i="5"/>
  <c r="AC33" i="5"/>
  <c r="AD33" i="5" s="1"/>
  <c r="AB33" i="5"/>
  <c r="Y33" i="5"/>
  <c r="X33" i="5"/>
  <c r="W33" i="5"/>
  <c r="R33" i="5"/>
  <c r="S33" i="5" s="1"/>
  <c r="Q33" i="5"/>
  <c r="M33" i="5"/>
  <c r="N33" i="5" s="1"/>
  <c r="L33" i="5"/>
  <c r="H33" i="5"/>
  <c r="E33" i="5"/>
  <c r="AR32" i="5"/>
  <c r="AS32" i="5" s="1"/>
  <c r="AQ32" i="5"/>
  <c r="AP32" i="5"/>
  <c r="AN32" i="5"/>
  <c r="AO32" i="5" s="1"/>
  <c r="AK32" i="5"/>
  <c r="AH32" i="5"/>
  <c r="AC32" i="5"/>
  <c r="AD32" i="5" s="1"/>
  <c r="AB32" i="5"/>
  <c r="Y32" i="5"/>
  <c r="X32" i="5"/>
  <c r="W32" i="5"/>
  <c r="R32" i="5"/>
  <c r="S32" i="5" s="1"/>
  <c r="Q32" i="5"/>
  <c r="M32" i="5"/>
  <c r="N32" i="5" s="1"/>
  <c r="L32" i="5"/>
  <c r="H32" i="5"/>
  <c r="E32" i="5"/>
  <c r="AR31" i="5"/>
  <c r="AS31" i="5" s="1"/>
  <c r="AQ31" i="5"/>
  <c r="AP31" i="5"/>
  <c r="AO31" i="5"/>
  <c r="AN31" i="5"/>
  <c r="AK31" i="5"/>
  <c r="AH31" i="5"/>
  <c r="AC31" i="5"/>
  <c r="AD31" i="5" s="1"/>
  <c r="AB31" i="5"/>
  <c r="X31" i="5"/>
  <c r="Y31" i="5" s="1"/>
  <c r="W31" i="5"/>
  <c r="R31" i="5"/>
  <c r="S31" i="5" s="1"/>
  <c r="Q31" i="5"/>
  <c r="N31" i="5"/>
  <c r="M31" i="5"/>
  <c r="L31" i="5"/>
  <c r="H31" i="5"/>
  <c r="E31" i="5"/>
  <c r="M29" i="5"/>
  <c r="N29" i="5" s="1"/>
  <c r="L29" i="5"/>
  <c r="E29" i="5"/>
  <c r="AH27" i="5"/>
  <c r="N27" i="5"/>
  <c r="L27" i="5"/>
  <c r="AK25" i="5"/>
  <c r="AH25" i="5"/>
  <c r="R25" i="5"/>
  <c r="S25" i="5" s="1"/>
  <c r="Q25" i="5"/>
  <c r="N25" i="5"/>
  <c r="M25" i="5"/>
  <c r="L25" i="5"/>
  <c r="AK24" i="5"/>
  <c r="AH24" i="5"/>
  <c r="R24" i="5"/>
  <c r="S24" i="5" s="1"/>
  <c r="Q24" i="5"/>
  <c r="N24" i="5"/>
  <c r="M24" i="5"/>
  <c r="L24" i="5"/>
  <c r="AK23" i="5"/>
  <c r="AH23" i="5"/>
  <c r="R23" i="5"/>
  <c r="S23" i="5" s="1"/>
  <c r="Q23" i="5"/>
  <c r="N23" i="5"/>
  <c r="M23" i="5"/>
  <c r="L23" i="5"/>
  <c r="AK22" i="5"/>
  <c r="AH22" i="5"/>
  <c r="R22" i="5"/>
  <c r="S22" i="5" s="1"/>
  <c r="Q22" i="5"/>
  <c r="N22" i="5"/>
  <c r="M22" i="5"/>
  <c r="L22" i="5"/>
  <c r="AQ20" i="5"/>
  <c r="AO20" i="5"/>
  <c r="AH20" i="5"/>
  <c r="N20" i="5"/>
  <c r="L20" i="5"/>
  <c r="E20" i="5"/>
  <c r="AH18" i="5"/>
  <c r="N18" i="5"/>
  <c r="L18" i="5"/>
  <c r="E18" i="5"/>
  <c r="AN16" i="5"/>
  <c r="AR16" i="5" s="1"/>
  <c r="AS16" i="5" s="1"/>
  <c r="AK16" i="5"/>
  <c r="AH16" i="5"/>
  <c r="AD16" i="5"/>
  <c r="AC16" i="5"/>
  <c r="AB16" i="5"/>
  <c r="X16" i="5"/>
  <c r="Y16" i="5" s="1"/>
  <c r="W16" i="5"/>
  <c r="R16" i="5"/>
  <c r="S16" i="5" s="1"/>
  <c r="Q16" i="5"/>
  <c r="M16" i="5"/>
  <c r="N16" i="5" s="1"/>
  <c r="L16" i="5"/>
  <c r="H16" i="5"/>
  <c r="E16" i="5"/>
  <c r="AN15" i="5"/>
  <c r="AK15" i="5"/>
  <c r="AH15" i="5"/>
  <c r="AC15" i="5"/>
  <c r="AD15" i="5" s="1"/>
  <c r="AB15" i="5"/>
  <c r="X15" i="5"/>
  <c r="Y15" i="5" s="1"/>
  <c r="W15" i="5"/>
  <c r="R15" i="5"/>
  <c r="S15" i="5" s="1"/>
  <c r="Q15" i="5"/>
  <c r="M15" i="5"/>
  <c r="N15" i="5" s="1"/>
  <c r="L15" i="5"/>
  <c r="H15" i="5"/>
  <c r="E15" i="5"/>
  <c r="AO14" i="5"/>
  <c r="AN14" i="5"/>
  <c r="AK14" i="5"/>
  <c r="AH14" i="5"/>
  <c r="AC14" i="5"/>
  <c r="AD14" i="5" s="1"/>
  <c r="AB14" i="5"/>
  <c r="X14" i="5"/>
  <c r="Y14" i="5" s="1"/>
  <c r="W14" i="5"/>
  <c r="S14" i="5"/>
  <c r="R14" i="5"/>
  <c r="Q14" i="5"/>
  <c r="M14" i="5"/>
  <c r="N14" i="5" s="1"/>
  <c r="L14" i="5"/>
  <c r="H14" i="5"/>
  <c r="E14" i="5"/>
  <c r="AP13" i="5"/>
  <c r="AQ13" i="5" s="1"/>
  <c r="AN13" i="5"/>
  <c r="AR13" i="5" s="1"/>
  <c r="AS13" i="5" s="1"/>
  <c r="AK13" i="5"/>
  <c r="AH13" i="5"/>
  <c r="AC13" i="5"/>
  <c r="AD13" i="5" s="1"/>
  <c r="AB13" i="5"/>
  <c r="X13" i="5"/>
  <c r="Y13" i="5" s="1"/>
  <c r="W13" i="5"/>
  <c r="S13" i="5"/>
  <c r="R13" i="5"/>
  <c r="Q13" i="5"/>
  <c r="M13" i="5"/>
  <c r="N13" i="5" s="1"/>
  <c r="L13" i="5"/>
  <c r="H13" i="5"/>
  <c r="E13" i="5"/>
  <c r="AR12" i="5"/>
  <c r="AS12" i="5" s="1"/>
  <c r="AQ12" i="5"/>
  <c r="AP12" i="5"/>
  <c r="AO12" i="5"/>
  <c r="AN12" i="5"/>
  <c r="AK12" i="5"/>
  <c r="AH12" i="5"/>
  <c r="AC12" i="5"/>
  <c r="AD12" i="5" s="1"/>
  <c r="AB12" i="5"/>
  <c r="Y12" i="5"/>
  <c r="X12" i="5"/>
  <c r="W12" i="5"/>
  <c r="S12" i="5"/>
  <c r="R12" i="5"/>
  <c r="Q12" i="5"/>
  <c r="M12" i="5"/>
  <c r="N12" i="5" s="1"/>
  <c r="L12" i="5"/>
  <c r="H12" i="5"/>
  <c r="E12" i="5"/>
  <c r="AR11" i="5"/>
  <c r="AS11" i="5" s="1"/>
  <c r="AP11" i="5"/>
  <c r="AQ11" i="5" s="1"/>
  <c r="AN11" i="5"/>
  <c r="AO11" i="5" s="1"/>
  <c r="AK11" i="5"/>
  <c r="AH11" i="5"/>
  <c r="AC11" i="5"/>
  <c r="AD11" i="5" s="1"/>
  <c r="AB11" i="5"/>
  <c r="Y11" i="5"/>
  <c r="X11" i="5"/>
  <c r="W11" i="5"/>
  <c r="R11" i="5"/>
  <c r="S11" i="5" s="1"/>
  <c r="Q11" i="5"/>
  <c r="M11" i="5"/>
  <c r="N11" i="5" s="1"/>
  <c r="L11" i="5"/>
  <c r="H11" i="5"/>
  <c r="E11" i="5"/>
  <c r="AR9" i="5"/>
  <c r="AS9" i="5" s="1"/>
  <c r="AQ9" i="5"/>
  <c r="AN9" i="5"/>
  <c r="AP9" i="5" s="1"/>
  <c r="AK9" i="5"/>
  <c r="AH9" i="5"/>
  <c r="AC9" i="5"/>
  <c r="AD9" i="5" s="1"/>
  <c r="AB9" i="5"/>
  <c r="X9" i="5"/>
  <c r="Y9" i="5" s="1"/>
  <c r="W9" i="5"/>
  <c r="R9" i="5"/>
  <c r="S9" i="5" s="1"/>
  <c r="Q9" i="5"/>
  <c r="M9" i="5"/>
  <c r="N9" i="5" s="1"/>
  <c r="L9" i="5"/>
  <c r="H9" i="5"/>
  <c r="E9" i="5"/>
  <c r="AR8" i="5"/>
  <c r="AS8" i="5" s="1"/>
  <c r="AN8" i="5"/>
  <c r="AP8" i="5" s="1"/>
  <c r="AQ8" i="5" s="1"/>
  <c r="AK8" i="5"/>
  <c r="AH8" i="5"/>
  <c r="AC8" i="5"/>
  <c r="AD8" i="5" s="1"/>
  <c r="AB8" i="5"/>
  <c r="X8" i="5"/>
  <c r="Y8" i="5" s="1"/>
  <c r="W8" i="5"/>
  <c r="R8" i="5"/>
  <c r="S8" i="5" s="1"/>
  <c r="Q8" i="5"/>
  <c r="N8" i="5"/>
  <c r="M8" i="5"/>
  <c r="L8" i="5"/>
  <c r="H8" i="5"/>
  <c r="E8" i="5"/>
  <c r="AN7" i="5"/>
  <c r="AR7" i="5" s="1"/>
  <c r="AS7" i="5" s="1"/>
  <c r="AK7" i="5"/>
  <c r="AH7" i="5"/>
  <c r="AD7" i="5"/>
  <c r="AC7" i="5"/>
  <c r="AB7" i="5"/>
  <c r="X7" i="5"/>
  <c r="Y7" i="5" s="1"/>
  <c r="W7" i="5"/>
  <c r="R7" i="5"/>
  <c r="S7" i="5" s="1"/>
  <c r="Q7" i="5"/>
  <c r="M7" i="5"/>
  <c r="N7" i="5" s="1"/>
  <c r="L7" i="5"/>
  <c r="H7" i="5"/>
  <c r="E7" i="5"/>
  <c r="AO6" i="5"/>
  <c r="AN6" i="5"/>
  <c r="AK6" i="5"/>
  <c r="AH6" i="5"/>
  <c r="AC6" i="5"/>
  <c r="AD6" i="5" s="1"/>
  <c r="AB6" i="5"/>
  <c r="X6" i="5"/>
  <c r="Y6" i="5" s="1"/>
  <c r="W6" i="5"/>
  <c r="S6" i="5"/>
  <c r="R6" i="5"/>
  <c r="Q6" i="5"/>
  <c r="M6" i="5"/>
  <c r="N6" i="5" s="1"/>
  <c r="L6" i="5"/>
  <c r="H6" i="5"/>
  <c r="E6" i="5"/>
  <c r="AU5" i="5"/>
  <c r="AV5" i="5" s="1"/>
  <c r="AP5" i="5"/>
  <c r="AQ5" i="5" s="1"/>
  <c r="AO5" i="5"/>
  <c r="AN5" i="5"/>
  <c r="AR5" i="5" s="1"/>
  <c r="AS5" i="5" s="1"/>
  <c r="AT5" i="5" s="1"/>
  <c r="AK5" i="5"/>
  <c r="AH5" i="5"/>
  <c r="AC5" i="5"/>
  <c r="AD5" i="5" s="1"/>
  <c r="AB5" i="5"/>
  <c r="Y5" i="5"/>
  <c r="X5" i="5"/>
  <c r="W5" i="5"/>
  <c r="S5" i="5"/>
  <c r="R5" i="5"/>
  <c r="Q5" i="5"/>
  <c r="M5" i="5"/>
  <c r="N5" i="5" s="1"/>
  <c r="L5" i="5"/>
  <c r="H5" i="5"/>
  <c r="E5" i="5"/>
  <c r="AN4" i="5"/>
  <c r="AR4" i="5" s="1"/>
  <c r="AS4" i="5" s="1"/>
  <c r="AK4" i="5"/>
  <c r="AH4" i="5"/>
  <c r="AC4" i="5"/>
  <c r="AD4" i="5" s="1"/>
  <c r="AB4" i="5"/>
  <c r="X4" i="5"/>
  <c r="Y4" i="5" s="1"/>
  <c r="W4" i="5"/>
  <c r="R4" i="5"/>
  <c r="S4" i="5" s="1"/>
  <c r="Q4" i="5"/>
  <c r="M4" i="5"/>
  <c r="N4" i="5" s="1"/>
  <c r="L4" i="5"/>
  <c r="H4" i="5"/>
  <c r="E4" i="5"/>
  <c r="S23" i="3"/>
  <c r="S24" i="3"/>
  <c r="S25" i="3"/>
  <c r="S22" i="3"/>
  <c r="Q23" i="3"/>
  <c r="Q24" i="3"/>
  <c r="Q25" i="3"/>
  <c r="Q22" i="3"/>
  <c r="N23" i="3"/>
  <c r="N24" i="3"/>
  <c r="N25" i="3"/>
  <c r="N22" i="3"/>
  <c r="N20" i="3"/>
  <c r="L23" i="3"/>
  <c r="L24" i="3"/>
  <c r="L25" i="3"/>
  <c r="L22" i="3"/>
  <c r="L20" i="3"/>
  <c r="E20" i="3"/>
  <c r="E18" i="3"/>
  <c r="AH18" i="3"/>
  <c r="AH27" i="3"/>
  <c r="AH20" i="3"/>
  <c r="AO20" i="3"/>
  <c r="AQ20" i="3"/>
  <c r="AQ16" i="3"/>
  <c r="AU4" i="6" l="1"/>
  <c r="AV4" i="6" s="1"/>
  <c r="AT4" i="6"/>
  <c r="AU7" i="6"/>
  <c r="AV7" i="6" s="1"/>
  <c r="AT7" i="6"/>
  <c r="AU52" i="6"/>
  <c r="AV52" i="6" s="1"/>
  <c r="AT52" i="6"/>
  <c r="AU33" i="6"/>
  <c r="AV33" i="6" s="1"/>
  <c r="AT33" i="6"/>
  <c r="AU42" i="6"/>
  <c r="AV42" i="6" s="1"/>
  <c r="AT42" i="6"/>
  <c r="AO43" i="6"/>
  <c r="AO8" i="6"/>
  <c r="AP8" i="6"/>
  <c r="AQ8" i="6" s="1"/>
  <c r="AU34" i="6"/>
  <c r="AV34" i="6" s="1"/>
  <c r="AT34" i="6"/>
  <c r="AP39" i="6"/>
  <c r="AQ39" i="6" s="1"/>
  <c r="AO39" i="6"/>
  <c r="AR6" i="6"/>
  <c r="AS6" i="6" s="1"/>
  <c r="AO6" i="6"/>
  <c r="AR8" i="6"/>
  <c r="AS8" i="6" s="1"/>
  <c r="AT11" i="6"/>
  <c r="AT38" i="6"/>
  <c r="AR39" i="6"/>
  <c r="AS39" i="6" s="1"/>
  <c r="AT41" i="6"/>
  <c r="AR14" i="6"/>
  <c r="AS14" i="6" s="1"/>
  <c r="AP14" i="6"/>
  <c r="AQ14" i="6" s="1"/>
  <c r="AO14" i="6"/>
  <c r="AR13" i="6"/>
  <c r="AS13" i="6" s="1"/>
  <c r="AT32" i="6"/>
  <c r="AP4" i="6"/>
  <c r="AQ4" i="6" s="1"/>
  <c r="AU40" i="6"/>
  <c r="AV40" i="6" s="1"/>
  <c r="AT12" i="6"/>
  <c r="AU12" i="6"/>
  <c r="AV12" i="6" s="1"/>
  <c r="AO13" i="6"/>
  <c r="AU31" i="6"/>
  <c r="AV31" i="6" s="1"/>
  <c r="AR45" i="6"/>
  <c r="AS45" i="6" s="1"/>
  <c r="AP45" i="6"/>
  <c r="AQ45" i="6" s="1"/>
  <c r="AO45" i="6"/>
  <c r="AT16" i="6"/>
  <c r="AT36" i="6"/>
  <c r="AR43" i="6"/>
  <c r="AS43" i="6" s="1"/>
  <c r="AO48" i="6"/>
  <c r="AP48" i="6"/>
  <c r="AQ48" i="6" s="1"/>
  <c r="AO4" i="6"/>
  <c r="AT47" i="6"/>
  <c r="AR48" i="6"/>
  <c r="AS48" i="6" s="1"/>
  <c r="AT50" i="6"/>
  <c r="AR5" i="6"/>
  <c r="AS5" i="6" s="1"/>
  <c r="AP5" i="6"/>
  <c r="AQ5" i="6" s="1"/>
  <c r="AO5" i="6"/>
  <c r="AU9" i="6"/>
  <c r="AV9" i="6" s="1"/>
  <c r="AO34" i="6"/>
  <c r="AR35" i="6"/>
  <c r="AS35" i="6" s="1"/>
  <c r="AP35" i="6"/>
  <c r="AQ35" i="6" s="1"/>
  <c r="AO35" i="6"/>
  <c r="AO15" i="6"/>
  <c r="AO36" i="6"/>
  <c r="AO46" i="6"/>
  <c r="AO9" i="6"/>
  <c r="AO31" i="6"/>
  <c r="AO40" i="6"/>
  <c r="AO49" i="6"/>
  <c r="AU16" i="5"/>
  <c r="AV16" i="5" s="1"/>
  <c r="AT16" i="5"/>
  <c r="AU39" i="5"/>
  <c r="AV39" i="5" s="1"/>
  <c r="AT39" i="5"/>
  <c r="AU48" i="5"/>
  <c r="AV48" i="5" s="1"/>
  <c r="AT48" i="5"/>
  <c r="AU38" i="5"/>
  <c r="AV38" i="5" s="1"/>
  <c r="AT38" i="5"/>
  <c r="AU49" i="5"/>
  <c r="AV49" i="5" s="1"/>
  <c r="AT49" i="5"/>
  <c r="AU9" i="5"/>
  <c r="AV9" i="5" s="1"/>
  <c r="AT9" i="5"/>
  <c r="AU8" i="5"/>
  <c r="AV8" i="5" s="1"/>
  <c r="AT8" i="5"/>
  <c r="AU7" i="5"/>
  <c r="AV7" i="5" s="1"/>
  <c r="AT7" i="5"/>
  <c r="AU31" i="5"/>
  <c r="AV31" i="5" s="1"/>
  <c r="AT31" i="5"/>
  <c r="AU40" i="5"/>
  <c r="AV40" i="5" s="1"/>
  <c r="AT40" i="5"/>
  <c r="AU47" i="5"/>
  <c r="AV47" i="5" s="1"/>
  <c r="AT47" i="5"/>
  <c r="AP15" i="5"/>
  <c r="AQ15" i="5" s="1"/>
  <c r="AR15" i="5"/>
  <c r="AS15" i="5" s="1"/>
  <c r="AO15" i="5"/>
  <c r="AP35" i="5"/>
  <c r="AQ35" i="5" s="1"/>
  <c r="AR35" i="5"/>
  <c r="AS35" i="5" s="1"/>
  <c r="AU11" i="5"/>
  <c r="AV11" i="5" s="1"/>
  <c r="AT11" i="5"/>
  <c r="AT50" i="5"/>
  <c r="AU50" i="5"/>
  <c r="AV50" i="5" s="1"/>
  <c r="AT41" i="5"/>
  <c r="AU41" i="5"/>
  <c r="AV41" i="5" s="1"/>
  <c r="AO35" i="5"/>
  <c r="AO36" i="5"/>
  <c r="AR36" i="5"/>
  <c r="AS36" i="5" s="1"/>
  <c r="AP36" i="5"/>
  <c r="AQ36" i="5" s="1"/>
  <c r="AO4" i="5"/>
  <c r="AP46" i="5"/>
  <c r="AQ46" i="5" s="1"/>
  <c r="AR46" i="5"/>
  <c r="AS46" i="5" s="1"/>
  <c r="AO46" i="5"/>
  <c r="AU13" i="5"/>
  <c r="AV13" i="5" s="1"/>
  <c r="AT13" i="5"/>
  <c r="AU43" i="5"/>
  <c r="AV43" i="5" s="1"/>
  <c r="AT43" i="5"/>
  <c r="AP45" i="5"/>
  <c r="AQ45" i="5" s="1"/>
  <c r="AR45" i="5"/>
  <c r="AS45" i="5" s="1"/>
  <c r="AU33" i="5"/>
  <c r="AV33" i="5" s="1"/>
  <c r="AT33" i="5"/>
  <c r="AO45" i="5"/>
  <c r="AU4" i="5"/>
  <c r="AV4" i="5" s="1"/>
  <c r="AT4" i="5"/>
  <c r="AP4" i="5"/>
  <c r="AQ4" i="5" s="1"/>
  <c r="AR6" i="5"/>
  <c r="AS6" i="5" s="1"/>
  <c r="AP6" i="5"/>
  <c r="AQ6" i="5" s="1"/>
  <c r="AU12" i="5"/>
  <c r="AV12" i="5" s="1"/>
  <c r="AT12" i="5"/>
  <c r="AO13" i="5"/>
  <c r="AP14" i="5"/>
  <c r="AQ14" i="5" s="1"/>
  <c r="AR14" i="5"/>
  <c r="AS14" i="5" s="1"/>
  <c r="AU32" i="5"/>
  <c r="AV32" i="5" s="1"/>
  <c r="AT32" i="5"/>
  <c r="AU34" i="5"/>
  <c r="AV34" i="5" s="1"/>
  <c r="AT34" i="5"/>
  <c r="AU42" i="5"/>
  <c r="AV42" i="5" s="1"/>
  <c r="AT42" i="5"/>
  <c r="AO43" i="5"/>
  <c r="AU52" i="5"/>
  <c r="AV52" i="5" s="1"/>
  <c r="AT52" i="5"/>
  <c r="AO7" i="5"/>
  <c r="AO38" i="5"/>
  <c r="AP7" i="5"/>
  <c r="AQ7" i="5" s="1"/>
  <c r="AO8" i="5"/>
  <c r="AP16" i="5"/>
  <c r="AQ16" i="5" s="1"/>
  <c r="AP38" i="5"/>
  <c r="AQ38" i="5" s="1"/>
  <c r="AO39" i="5"/>
  <c r="AP47" i="5"/>
  <c r="AQ47" i="5" s="1"/>
  <c r="AO48" i="5"/>
  <c r="AO47" i="5"/>
  <c r="AO9" i="5"/>
  <c r="AO40" i="5"/>
  <c r="AO16" i="5"/>
  <c r="R24" i="3"/>
  <c r="R25" i="3"/>
  <c r="R23" i="3"/>
  <c r="R22" i="3"/>
  <c r="AU32" i="3"/>
  <c r="AV32" i="3" s="1"/>
  <c r="AU33" i="3"/>
  <c r="AV33" i="3"/>
  <c r="AU34" i="3"/>
  <c r="AV34" i="3"/>
  <c r="AU35" i="3"/>
  <c r="AV35" i="3"/>
  <c r="AU36" i="3"/>
  <c r="AV36" i="3" s="1"/>
  <c r="AU38" i="3"/>
  <c r="AV38" i="3"/>
  <c r="AU39" i="3"/>
  <c r="AV39" i="3"/>
  <c r="AU40" i="3"/>
  <c r="AV40" i="3" s="1"/>
  <c r="AU41" i="3"/>
  <c r="AV41" i="3"/>
  <c r="AU42" i="3"/>
  <c r="AV42" i="3"/>
  <c r="AU43" i="3"/>
  <c r="AV43" i="3"/>
  <c r="AU45" i="3"/>
  <c r="AV45" i="3"/>
  <c r="AU46" i="3"/>
  <c r="AV46" i="3"/>
  <c r="AU47" i="3"/>
  <c r="AV47" i="3"/>
  <c r="AU48" i="3"/>
  <c r="AV48" i="3" s="1"/>
  <c r="AU49" i="3"/>
  <c r="AV49" i="3"/>
  <c r="AU50" i="3"/>
  <c r="AV50" i="3"/>
  <c r="AU52" i="3"/>
  <c r="AV52" i="3" s="1"/>
  <c r="AV31" i="3"/>
  <c r="AU31" i="3"/>
  <c r="AU5" i="3"/>
  <c r="AV5" i="3" s="1"/>
  <c r="AU6" i="3"/>
  <c r="AV6" i="3"/>
  <c r="AU7" i="3"/>
  <c r="AV7" i="3"/>
  <c r="AU8" i="3"/>
  <c r="AV8" i="3"/>
  <c r="AU9" i="3"/>
  <c r="AV9" i="3" s="1"/>
  <c r="AU11" i="3"/>
  <c r="AV11" i="3"/>
  <c r="AU12" i="3"/>
  <c r="AV12" i="3"/>
  <c r="AU13" i="3"/>
  <c r="AV13" i="3" s="1"/>
  <c r="AU14" i="3"/>
  <c r="AV14" i="3"/>
  <c r="AU15" i="3"/>
  <c r="AV15" i="3"/>
  <c r="AU16" i="3"/>
  <c r="AV16" i="3"/>
  <c r="AV4" i="3"/>
  <c r="AU4" i="3"/>
  <c r="AQ32" i="3"/>
  <c r="AQ33" i="3"/>
  <c r="AQ34" i="3"/>
  <c r="AQ35" i="3"/>
  <c r="AQ36" i="3"/>
  <c r="AQ38" i="3"/>
  <c r="AQ39" i="3"/>
  <c r="AQ40" i="3"/>
  <c r="AQ41" i="3"/>
  <c r="AQ42" i="3"/>
  <c r="AQ43" i="3"/>
  <c r="AQ45" i="3"/>
  <c r="AQ46" i="3"/>
  <c r="AQ47" i="3"/>
  <c r="AQ48" i="3"/>
  <c r="AQ49" i="3"/>
  <c r="AQ50" i="3"/>
  <c r="AQ52" i="3"/>
  <c r="AP32" i="3"/>
  <c r="AP33" i="3"/>
  <c r="AP34" i="3"/>
  <c r="AP35" i="3"/>
  <c r="AP36" i="3"/>
  <c r="AP38" i="3"/>
  <c r="AP39" i="3"/>
  <c r="AP40" i="3"/>
  <c r="AP41" i="3"/>
  <c r="AP42" i="3"/>
  <c r="AP43" i="3"/>
  <c r="AP45" i="3"/>
  <c r="AP46" i="3"/>
  <c r="AP47" i="3"/>
  <c r="AP48" i="3"/>
  <c r="AP49" i="3"/>
  <c r="AP50" i="3"/>
  <c r="AP52" i="3"/>
  <c r="AP31" i="3"/>
  <c r="AQ31" i="3" s="1"/>
  <c r="AQ5" i="3"/>
  <c r="AQ6" i="3"/>
  <c r="AQ7" i="3"/>
  <c r="AQ8" i="3"/>
  <c r="AQ9" i="3"/>
  <c r="AQ11" i="3"/>
  <c r="AQ12" i="3"/>
  <c r="AQ13" i="3"/>
  <c r="AQ14" i="3"/>
  <c r="AQ15" i="3"/>
  <c r="AQ4" i="3"/>
  <c r="AP11" i="3"/>
  <c r="AP12" i="3"/>
  <c r="AP13" i="3"/>
  <c r="AP14" i="3"/>
  <c r="AP15" i="3"/>
  <c r="AP16" i="3"/>
  <c r="AP5" i="3"/>
  <c r="AP6" i="3"/>
  <c r="AP7" i="3"/>
  <c r="AP8" i="3"/>
  <c r="AP9" i="3"/>
  <c r="AP4" i="3"/>
  <c r="AD52" i="3"/>
  <c r="AD46" i="3"/>
  <c r="AD47" i="3"/>
  <c r="AD48" i="3"/>
  <c r="AD49" i="3"/>
  <c r="AD50" i="3"/>
  <c r="AD45" i="3"/>
  <c r="AD39" i="3"/>
  <c r="AD40" i="3"/>
  <c r="AD41" i="3"/>
  <c r="AD42" i="3"/>
  <c r="AD43" i="3"/>
  <c r="AD38" i="3"/>
  <c r="AC38" i="3"/>
  <c r="AC39" i="3"/>
  <c r="AC40" i="3"/>
  <c r="AC41" i="3"/>
  <c r="AC42" i="3"/>
  <c r="AC43" i="3"/>
  <c r="AC45" i="3"/>
  <c r="AC46" i="3"/>
  <c r="AC47" i="3"/>
  <c r="AC48" i="3"/>
  <c r="AC49" i="3"/>
  <c r="AC50" i="3"/>
  <c r="AC52" i="3"/>
  <c r="AD32" i="3"/>
  <c r="AD33" i="3"/>
  <c r="AD34" i="3"/>
  <c r="AD35" i="3"/>
  <c r="AD36" i="3"/>
  <c r="AD31" i="3"/>
  <c r="AC32" i="3"/>
  <c r="AC33" i="3"/>
  <c r="AC34" i="3"/>
  <c r="AC35" i="3"/>
  <c r="AC36" i="3"/>
  <c r="AC31" i="3"/>
  <c r="AD12" i="3"/>
  <c r="AD13" i="3"/>
  <c r="AD14" i="3"/>
  <c r="AD15" i="3"/>
  <c r="AD16" i="3"/>
  <c r="AD11" i="3"/>
  <c r="AC16" i="3"/>
  <c r="AC15" i="3"/>
  <c r="AC14" i="3"/>
  <c r="AC13" i="3"/>
  <c r="AC12" i="3"/>
  <c r="AC11" i="3"/>
  <c r="AD5" i="3"/>
  <c r="AD6" i="3"/>
  <c r="AD7" i="3"/>
  <c r="AD8" i="3"/>
  <c r="AD9" i="3"/>
  <c r="AD4" i="3"/>
  <c r="AC5" i="3"/>
  <c r="AC6" i="3"/>
  <c r="AC7" i="3"/>
  <c r="AC8" i="3"/>
  <c r="AC9" i="3"/>
  <c r="AC4" i="3"/>
  <c r="Y46" i="3"/>
  <c r="Y47" i="3"/>
  <c r="Y48" i="3"/>
  <c r="Y49" i="3"/>
  <c r="Y50" i="3"/>
  <c r="Y45" i="3"/>
  <c r="X46" i="3"/>
  <c r="X47" i="3"/>
  <c r="X48" i="3"/>
  <c r="X49" i="3"/>
  <c r="X50" i="3"/>
  <c r="X52" i="3"/>
  <c r="Y52" i="3" s="1"/>
  <c r="X45" i="3"/>
  <c r="Y39" i="3"/>
  <c r="Y40" i="3"/>
  <c r="Y41" i="3"/>
  <c r="Y42" i="3"/>
  <c r="Y43" i="3"/>
  <c r="Y38" i="3"/>
  <c r="X39" i="3"/>
  <c r="X40" i="3"/>
  <c r="X41" i="3"/>
  <c r="X42" i="3"/>
  <c r="X43" i="3"/>
  <c r="X38" i="3"/>
  <c r="Y32" i="3"/>
  <c r="Y33" i="3"/>
  <c r="Y34" i="3"/>
  <c r="Y35" i="3"/>
  <c r="Y36" i="3"/>
  <c r="Y31" i="3"/>
  <c r="X32" i="3"/>
  <c r="X33" i="3"/>
  <c r="X34" i="3"/>
  <c r="X35" i="3"/>
  <c r="X36" i="3"/>
  <c r="Y12" i="3"/>
  <c r="Y13" i="3"/>
  <c r="Y14" i="3"/>
  <c r="Y15" i="3"/>
  <c r="Y16" i="3"/>
  <c r="Y11" i="3"/>
  <c r="X31" i="3"/>
  <c r="Y5" i="3"/>
  <c r="Y6" i="3"/>
  <c r="Y7" i="3"/>
  <c r="Y8" i="3"/>
  <c r="Y9" i="3"/>
  <c r="Y4" i="3"/>
  <c r="X5" i="3"/>
  <c r="X6" i="3"/>
  <c r="X7" i="3"/>
  <c r="X8" i="3"/>
  <c r="X9" i="3"/>
  <c r="X11" i="3"/>
  <c r="X12" i="3"/>
  <c r="X13" i="3"/>
  <c r="X14" i="3"/>
  <c r="X15" i="3"/>
  <c r="X16" i="3"/>
  <c r="X4" i="3"/>
  <c r="S38" i="3"/>
  <c r="S39" i="3"/>
  <c r="S40" i="3"/>
  <c r="S41" i="3"/>
  <c r="S42" i="3"/>
  <c r="S43" i="3"/>
  <c r="S45" i="3"/>
  <c r="S46" i="3"/>
  <c r="S47" i="3"/>
  <c r="S48" i="3"/>
  <c r="S49" i="3"/>
  <c r="S50" i="3"/>
  <c r="S52" i="3"/>
  <c r="R38" i="3"/>
  <c r="R39" i="3"/>
  <c r="R40" i="3"/>
  <c r="R41" i="3"/>
  <c r="R42" i="3"/>
  <c r="R43" i="3"/>
  <c r="R45" i="3"/>
  <c r="R46" i="3"/>
  <c r="R47" i="3"/>
  <c r="R48" i="3"/>
  <c r="R49" i="3"/>
  <c r="R50" i="3"/>
  <c r="R52" i="3"/>
  <c r="S32" i="3"/>
  <c r="S33" i="3"/>
  <c r="S34" i="3"/>
  <c r="S35" i="3"/>
  <c r="S36" i="3"/>
  <c r="S31" i="3"/>
  <c r="R32" i="3"/>
  <c r="R33" i="3"/>
  <c r="R34" i="3"/>
  <c r="R35" i="3"/>
  <c r="R36" i="3"/>
  <c r="R31" i="3"/>
  <c r="S12" i="3"/>
  <c r="S13" i="3"/>
  <c r="S14" i="3"/>
  <c r="S15" i="3"/>
  <c r="S16" i="3"/>
  <c r="S11" i="3"/>
  <c r="R12" i="3"/>
  <c r="R13" i="3"/>
  <c r="R14" i="3"/>
  <c r="R15" i="3"/>
  <c r="R16" i="3"/>
  <c r="R11" i="3"/>
  <c r="S5" i="3"/>
  <c r="S6" i="3"/>
  <c r="S7" i="3"/>
  <c r="S8" i="3"/>
  <c r="S9" i="3"/>
  <c r="S4" i="3"/>
  <c r="R5" i="3"/>
  <c r="R6" i="3"/>
  <c r="R7" i="3"/>
  <c r="R8" i="3"/>
  <c r="R9" i="3"/>
  <c r="R4" i="3"/>
  <c r="N52" i="3"/>
  <c r="M52" i="3"/>
  <c r="N50" i="3"/>
  <c r="N49" i="3"/>
  <c r="N48" i="3"/>
  <c r="N47" i="3"/>
  <c r="N46" i="3"/>
  <c r="N45" i="3"/>
  <c r="M46" i="3"/>
  <c r="M47" i="3"/>
  <c r="M48" i="3"/>
  <c r="M49" i="3"/>
  <c r="M50" i="3"/>
  <c r="M45" i="3"/>
  <c r="N39" i="3"/>
  <c r="N40" i="3"/>
  <c r="N41" i="3"/>
  <c r="N42" i="3"/>
  <c r="N43" i="3"/>
  <c r="N38" i="3"/>
  <c r="M39" i="3"/>
  <c r="M40" i="3"/>
  <c r="M41" i="3"/>
  <c r="M42" i="3"/>
  <c r="M43" i="3"/>
  <c r="M38" i="3"/>
  <c r="N36" i="3"/>
  <c r="N35" i="3"/>
  <c r="N34" i="3"/>
  <c r="N33" i="3"/>
  <c r="N32" i="3"/>
  <c r="N31" i="3"/>
  <c r="N29" i="3"/>
  <c r="N27" i="3"/>
  <c r="M32" i="3"/>
  <c r="M33" i="3"/>
  <c r="M34" i="3"/>
  <c r="M35" i="3"/>
  <c r="M36" i="3"/>
  <c r="M31" i="3"/>
  <c r="M29" i="3"/>
  <c r="M24" i="3"/>
  <c r="M23" i="3"/>
  <c r="M22" i="3"/>
  <c r="M13" i="3"/>
  <c r="M25" i="3"/>
  <c r="N18" i="3"/>
  <c r="M15" i="3"/>
  <c r="N15" i="3"/>
  <c r="M16" i="3"/>
  <c r="N16" i="3" s="1"/>
  <c r="AU13" i="6" l="1"/>
  <c r="AV13" i="6" s="1"/>
  <c r="AT13" i="6"/>
  <c r="AU8" i="6"/>
  <c r="AV8" i="6" s="1"/>
  <c r="AT8" i="6"/>
  <c r="AT5" i="6"/>
  <c r="AU5" i="6"/>
  <c r="AV5" i="6" s="1"/>
  <c r="AU39" i="6"/>
  <c r="AV39" i="6" s="1"/>
  <c r="AT39" i="6"/>
  <c r="AT45" i="6"/>
  <c r="AU45" i="6"/>
  <c r="AV45" i="6" s="1"/>
  <c r="AU6" i="6"/>
  <c r="AV6" i="6" s="1"/>
  <c r="AT6" i="6"/>
  <c r="AU48" i="6"/>
  <c r="AV48" i="6" s="1"/>
  <c r="AT48" i="6"/>
  <c r="AT35" i="6"/>
  <c r="AU35" i="6"/>
  <c r="AV35" i="6" s="1"/>
  <c r="AU43" i="6"/>
  <c r="AV43" i="6" s="1"/>
  <c r="AT43" i="6"/>
  <c r="AT14" i="6"/>
  <c r="AU14" i="6"/>
  <c r="AV14" i="6" s="1"/>
  <c r="AU46" i="5"/>
  <c r="AV46" i="5" s="1"/>
  <c r="AT46" i="5"/>
  <c r="AT45" i="5"/>
  <c r="AU45" i="5"/>
  <c r="AV45" i="5" s="1"/>
  <c r="AU6" i="5"/>
  <c r="AV6" i="5" s="1"/>
  <c r="AT6" i="5"/>
  <c r="AT35" i="5"/>
  <c r="AU35" i="5"/>
  <c r="AV35" i="5" s="1"/>
  <c r="AU15" i="5"/>
  <c r="AV15" i="5" s="1"/>
  <c r="AT15" i="5"/>
  <c r="AU36" i="5"/>
  <c r="AV36" i="5" s="1"/>
  <c r="AT36" i="5"/>
  <c r="AT14" i="5"/>
  <c r="AU14" i="5"/>
  <c r="AV14" i="5" s="1"/>
  <c r="N14" i="3"/>
  <c r="M14" i="3"/>
  <c r="M12" i="3"/>
  <c r="N12" i="3"/>
  <c r="N13" i="3"/>
  <c r="N11" i="3"/>
  <c r="M11" i="3"/>
  <c r="N5" i="3"/>
  <c r="N6" i="3"/>
  <c r="N7" i="3"/>
  <c r="N8" i="3"/>
  <c r="N9" i="3"/>
  <c r="N4" i="3"/>
  <c r="M5" i="3"/>
  <c r="M6" i="3"/>
  <c r="M7" i="3"/>
  <c r="M8" i="3"/>
  <c r="M9" i="3"/>
  <c r="M4" i="3"/>
  <c r="AK25" i="3" l="1"/>
  <c r="AK24" i="3"/>
  <c r="AK23" i="3"/>
  <c r="AK22" i="3"/>
  <c r="AH25" i="3"/>
  <c r="AH24" i="3"/>
  <c r="AH23" i="3"/>
  <c r="AH22" i="3"/>
  <c r="L27" i="3"/>
  <c r="L18" i="3"/>
  <c r="L29" i="3"/>
  <c r="E29" i="3"/>
  <c r="AN52" i="3"/>
  <c r="AR52" i="3" s="1"/>
  <c r="AS52" i="3" s="1"/>
  <c r="AT52" i="3" s="1"/>
  <c r="AK52" i="3"/>
  <c r="AH52" i="3"/>
  <c r="AB52" i="3"/>
  <c r="W52" i="3"/>
  <c r="Q52" i="3"/>
  <c r="L52" i="3"/>
  <c r="H52" i="3"/>
  <c r="E52" i="3"/>
  <c r="AN50" i="3"/>
  <c r="AO50" i="3" s="1"/>
  <c r="AK50" i="3"/>
  <c r="AH50" i="3"/>
  <c r="AB50" i="3"/>
  <c r="W50" i="3"/>
  <c r="Q50" i="3"/>
  <c r="L50" i="3"/>
  <c r="H50" i="3"/>
  <c r="E50" i="3"/>
  <c r="AN49" i="3"/>
  <c r="AR49" i="3" s="1"/>
  <c r="AS49" i="3" s="1"/>
  <c r="AT49" i="3" s="1"/>
  <c r="AK49" i="3"/>
  <c r="AH49" i="3"/>
  <c r="AB49" i="3"/>
  <c r="W49" i="3"/>
  <c r="Q49" i="3"/>
  <c r="L49" i="3"/>
  <c r="H49" i="3"/>
  <c r="E49" i="3"/>
  <c r="AN48" i="3"/>
  <c r="AR48" i="3" s="1"/>
  <c r="AS48" i="3" s="1"/>
  <c r="AT48" i="3" s="1"/>
  <c r="AK48" i="3"/>
  <c r="AH48" i="3"/>
  <c r="AB48" i="3"/>
  <c r="W48" i="3"/>
  <c r="Q48" i="3"/>
  <c r="L48" i="3"/>
  <c r="H48" i="3"/>
  <c r="E48" i="3"/>
  <c r="AN47" i="3"/>
  <c r="AR47" i="3" s="1"/>
  <c r="AS47" i="3" s="1"/>
  <c r="AT47" i="3" s="1"/>
  <c r="AK47" i="3"/>
  <c r="AH47" i="3"/>
  <c r="AB47" i="3"/>
  <c r="W47" i="3"/>
  <c r="Q47" i="3"/>
  <c r="L47" i="3"/>
  <c r="H47" i="3"/>
  <c r="E47" i="3"/>
  <c r="AN46" i="3"/>
  <c r="AR46" i="3" s="1"/>
  <c r="AS46" i="3" s="1"/>
  <c r="AT46" i="3" s="1"/>
  <c r="AK46" i="3"/>
  <c r="AH46" i="3"/>
  <c r="AB46" i="3"/>
  <c r="W46" i="3"/>
  <c r="Q46" i="3"/>
  <c r="L46" i="3"/>
  <c r="H46" i="3"/>
  <c r="E46" i="3"/>
  <c r="AN45" i="3"/>
  <c r="AR45" i="3" s="1"/>
  <c r="AS45" i="3" s="1"/>
  <c r="AT45" i="3" s="1"/>
  <c r="AK45" i="3"/>
  <c r="AH45" i="3"/>
  <c r="AB45" i="3"/>
  <c r="W45" i="3"/>
  <c r="Q45" i="3"/>
  <c r="L45" i="3"/>
  <c r="H45" i="3"/>
  <c r="E45" i="3"/>
  <c r="AN43" i="3"/>
  <c r="AO43" i="3" s="1"/>
  <c r="AK43" i="3"/>
  <c r="AH43" i="3"/>
  <c r="AB43" i="3"/>
  <c r="W43" i="3"/>
  <c r="Q43" i="3"/>
  <c r="L43" i="3"/>
  <c r="H43" i="3"/>
  <c r="E43" i="3"/>
  <c r="AN42" i="3"/>
  <c r="AR42" i="3" s="1"/>
  <c r="AS42" i="3" s="1"/>
  <c r="AT42" i="3" s="1"/>
  <c r="AK42" i="3"/>
  <c r="AH42" i="3"/>
  <c r="AB42" i="3"/>
  <c r="W42" i="3"/>
  <c r="Q42" i="3"/>
  <c r="L42" i="3"/>
  <c r="H42" i="3"/>
  <c r="E42" i="3"/>
  <c r="AN41" i="3"/>
  <c r="AO41" i="3" s="1"/>
  <c r="AK41" i="3"/>
  <c r="AH41" i="3"/>
  <c r="AB41" i="3"/>
  <c r="W41" i="3"/>
  <c r="Q41" i="3"/>
  <c r="L41" i="3"/>
  <c r="H41" i="3"/>
  <c r="E41" i="3"/>
  <c r="AN40" i="3"/>
  <c r="AR40" i="3" s="1"/>
  <c r="AS40" i="3" s="1"/>
  <c r="AT40" i="3" s="1"/>
  <c r="AK40" i="3"/>
  <c r="AH40" i="3"/>
  <c r="AB40" i="3"/>
  <c r="W40" i="3"/>
  <c r="Q40" i="3"/>
  <c r="L40" i="3"/>
  <c r="H40" i="3"/>
  <c r="E40" i="3"/>
  <c r="AN39" i="3"/>
  <c r="AR39" i="3" s="1"/>
  <c r="AS39" i="3" s="1"/>
  <c r="AT39" i="3" s="1"/>
  <c r="AK39" i="3"/>
  <c r="AH39" i="3"/>
  <c r="AB39" i="3"/>
  <c r="W39" i="3"/>
  <c r="Q39" i="3"/>
  <c r="L39" i="3"/>
  <c r="H39" i="3"/>
  <c r="E39" i="3"/>
  <c r="AN38" i="3"/>
  <c r="AO38" i="3" s="1"/>
  <c r="AK38" i="3"/>
  <c r="AH38" i="3"/>
  <c r="AB38" i="3"/>
  <c r="W38" i="3"/>
  <c r="Q38" i="3"/>
  <c r="L38" i="3"/>
  <c r="H38" i="3"/>
  <c r="E38" i="3"/>
  <c r="AN36" i="3"/>
  <c r="AO36" i="3" s="1"/>
  <c r="AK36" i="3"/>
  <c r="AH36" i="3"/>
  <c r="AB36" i="3"/>
  <c r="W36" i="3"/>
  <c r="Q36" i="3"/>
  <c r="L36" i="3"/>
  <c r="H36" i="3"/>
  <c r="E36" i="3"/>
  <c r="AN35" i="3"/>
  <c r="AR35" i="3" s="1"/>
  <c r="AS35" i="3" s="1"/>
  <c r="AT35" i="3" s="1"/>
  <c r="AK35" i="3"/>
  <c r="AH35" i="3"/>
  <c r="AB35" i="3"/>
  <c r="W35" i="3"/>
  <c r="Q35" i="3"/>
  <c r="L35" i="3"/>
  <c r="H35" i="3"/>
  <c r="E35" i="3"/>
  <c r="AN34" i="3"/>
  <c r="AO34" i="3" s="1"/>
  <c r="AK34" i="3"/>
  <c r="AH34" i="3"/>
  <c r="AB34" i="3"/>
  <c r="W34" i="3"/>
  <c r="Q34" i="3"/>
  <c r="L34" i="3"/>
  <c r="H34" i="3"/>
  <c r="E34" i="3"/>
  <c r="AN33" i="3"/>
  <c r="AR33" i="3" s="1"/>
  <c r="AS33" i="3" s="1"/>
  <c r="AT33" i="3" s="1"/>
  <c r="AK33" i="3"/>
  <c r="AH33" i="3"/>
  <c r="AB33" i="3"/>
  <c r="W33" i="3"/>
  <c r="Q33" i="3"/>
  <c r="L33" i="3"/>
  <c r="H33" i="3"/>
  <c r="E33" i="3"/>
  <c r="AN32" i="3"/>
  <c r="AO32" i="3" s="1"/>
  <c r="AK32" i="3"/>
  <c r="AH32" i="3"/>
  <c r="AB32" i="3"/>
  <c r="W32" i="3"/>
  <c r="Q32" i="3"/>
  <c r="L32" i="3"/>
  <c r="H32" i="3"/>
  <c r="E32" i="3"/>
  <c r="AN31" i="3"/>
  <c r="AR31" i="3" s="1"/>
  <c r="AS31" i="3" s="1"/>
  <c r="AT31" i="3" s="1"/>
  <c r="AK31" i="3"/>
  <c r="AH31" i="3"/>
  <c r="AB31" i="3"/>
  <c r="W31" i="3"/>
  <c r="Q31" i="3"/>
  <c r="L31" i="3"/>
  <c r="H31" i="3"/>
  <c r="E31" i="3"/>
  <c r="AN16" i="3"/>
  <c r="AR16" i="3" s="1"/>
  <c r="AS16" i="3" s="1"/>
  <c r="AT16" i="3" s="1"/>
  <c r="AK16" i="3"/>
  <c r="AH16" i="3"/>
  <c r="AB16" i="3"/>
  <c r="W16" i="3"/>
  <c r="Q16" i="3"/>
  <c r="L16" i="3"/>
  <c r="H16" i="3"/>
  <c r="E16" i="3"/>
  <c r="AN15" i="3"/>
  <c r="AR15" i="3" s="1"/>
  <c r="AS15" i="3" s="1"/>
  <c r="AT15" i="3" s="1"/>
  <c r="AK15" i="3"/>
  <c r="AH15" i="3"/>
  <c r="AB15" i="3"/>
  <c r="W15" i="3"/>
  <c r="Q15" i="3"/>
  <c r="L15" i="3"/>
  <c r="H15" i="3"/>
  <c r="E15" i="3"/>
  <c r="AN14" i="3"/>
  <c r="AR14" i="3" s="1"/>
  <c r="AS14" i="3" s="1"/>
  <c r="AT14" i="3" s="1"/>
  <c r="AK14" i="3"/>
  <c r="AH14" i="3"/>
  <c r="AB14" i="3"/>
  <c r="W14" i="3"/>
  <c r="Q14" i="3"/>
  <c r="L14" i="3"/>
  <c r="H14" i="3"/>
  <c r="E14" i="3"/>
  <c r="AN13" i="3"/>
  <c r="AR13" i="3" s="1"/>
  <c r="AS13" i="3" s="1"/>
  <c r="AT13" i="3" s="1"/>
  <c r="AK13" i="3"/>
  <c r="AH13" i="3"/>
  <c r="AB13" i="3"/>
  <c r="W13" i="3"/>
  <c r="Q13" i="3"/>
  <c r="L13" i="3"/>
  <c r="H13" i="3"/>
  <c r="E13" i="3"/>
  <c r="AN12" i="3"/>
  <c r="AO12" i="3" s="1"/>
  <c r="AK12" i="3"/>
  <c r="AH12" i="3"/>
  <c r="AB12" i="3"/>
  <c r="W12" i="3"/>
  <c r="Q12" i="3"/>
  <c r="L12" i="3"/>
  <c r="H12" i="3"/>
  <c r="E12" i="3"/>
  <c r="AN11" i="3"/>
  <c r="AR11" i="3" s="1"/>
  <c r="AS11" i="3" s="1"/>
  <c r="AT11" i="3" s="1"/>
  <c r="AK11" i="3"/>
  <c r="AH11" i="3"/>
  <c r="AB11" i="3"/>
  <c r="W11" i="3"/>
  <c r="Q11" i="3"/>
  <c r="L11" i="3"/>
  <c r="H11" i="3"/>
  <c r="E11" i="3"/>
  <c r="AN9" i="3"/>
  <c r="AO9" i="3" s="1"/>
  <c r="AK9" i="3"/>
  <c r="AH9" i="3"/>
  <c r="AB9" i="3"/>
  <c r="W9" i="3"/>
  <c r="Q9" i="3"/>
  <c r="L9" i="3"/>
  <c r="H9" i="3"/>
  <c r="E9" i="3"/>
  <c r="AN8" i="3"/>
  <c r="AR8" i="3" s="1"/>
  <c r="AS8" i="3" s="1"/>
  <c r="AT8" i="3" s="1"/>
  <c r="AK8" i="3"/>
  <c r="AH8" i="3"/>
  <c r="AB8" i="3"/>
  <c r="W8" i="3"/>
  <c r="Q8" i="3"/>
  <c r="L8" i="3"/>
  <c r="H8" i="3"/>
  <c r="E8" i="3"/>
  <c r="AN7" i="3"/>
  <c r="AR7" i="3" s="1"/>
  <c r="AS7" i="3" s="1"/>
  <c r="AT7" i="3" s="1"/>
  <c r="AK7" i="3"/>
  <c r="AH7" i="3"/>
  <c r="AB7" i="3"/>
  <c r="W7" i="3"/>
  <c r="Q7" i="3"/>
  <c r="L7" i="3"/>
  <c r="H7" i="3"/>
  <c r="E7" i="3"/>
  <c r="AN6" i="3"/>
  <c r="AR6" i="3" s="1"/>
  <c r="AS6" i="3" s="1"/>
  <c r="AT6" i="3" s="1"/>
  <c r="AK6" i="3"/>
  <c r="AH6" i="3"/>
  <c r="AB6" i="3"/>
  <c r="W6" i="3"/>
  <c r="Q6" i="3"/>
  <c r="L6" i="3"/>
  <c r="H6" i="3"/>
  <c r="E6" i="3"/>
  <c r="AN5" i="3"/>
  <c r="AR5" i="3" s="1"/>
  <c r="AS5" i="3" s="1"/>
  <c r="AT5" i="3" s="1"/>
  <c r="AK5" i="3"/>
  <c r="AH5" i="3"/>
  <c r="AB5" i="3"/>
  <c r="W5" i="3"/>
  <c r="Q5" i="3"/>
  <c r="L5" i="3"/>
  <c r="H5" i="3"/>
  <c r="E5" i="3"/>
  <c r="AN4" i="3"/>
  <c r="AR4" i="3" s="1"/>
  <c r="AS4" i="3" s="1"/>
  <c r="AT4" i="3" s="1"/>
  <c r="AK4" i="3"/>
  <c r="AH4" i="3"/>
  <c r="AB4" i="3"/>
  <c r="W4" i="3"/>
  <c r="Q4" i="3"/>
  <c r="L4" i="3"/>
  <c r="H4" i="3"/>
  <c r="E4" i="3"/>
  <c r="AO47" i="3" l="1"/>
  <c r="AR38" i="3"/>
  <c r="AS38" i="3" s="1"/>
  <c r="AT38" i="3" s="1"/>
  <c r="AO45" i="3"/>
  <c r="AO5" i="3"/>
  <c r="AR36" i="3"/>
  <c r="AS36" i="3" s="1"/>
  <c r="AT36" i="3" s="1"/>
  <c r="AR9" i="3"/>
  <c r="AS9" i="3" s="1"/>
  <c r="AT9" i="3" s="1"/>
  <c r="AO15" i="3"/>
  <c r="AO4" i="3"/>
  <c r="AO14" i="3"/>
  <c r="AR32" i="3"/>
  <c r="AS32" i="3" s="1"/>
  <c r="AT32" i="3" s="1"/>
  <c r="AO35" i="3"/>
  <c r="AO46" i="3"/>
  <c r="AR50" i="3"/>
  <c r="AS50" i="3" s="1"/>
  <c r="AT50" i="3" s="1"/>
  <c r="AO6" i="3"/>
  <c r="AO13" i="3"/>
  <c r="AR41" i="3"/>
  <c r="AS41" i="3" s="1"/>
  <c r="AT41" i="3" s="1"/>
  <c r="AO8" i="3"/>
  <c r="AR12" i="3"/>
  <c r="AS12" i="3" s="1"/>
  <c r="AT12" i="3" s="1"/>
  <c r="AO31" i="3"/>
  <c r="AR34" i="3"/>
  <c r="AS34" i="3" s="1"/>
  <c r="AT34" i="3" s="1"/>
  <c r="AO40" i="3"/>
  <c r="AR43" i="3"/>
  <c r="AS43" i="3" s="1"/>
  <c r="AT43" i="3" s="1"/>
  <c r="AO49" i="3"/>
  <c r="AO11" i="3"/>
  <c r="AO33" i="3"/>
  <c r="AO42" i="3"/>
  <c r="AO52" i="3"/>
  <c r="AO7" i="3"/>
  <c r="AO16" i="3"/>
  <c r="AO39" i="3"/>
  <c r="AO48" i="3"/>
</calcChain>
</file>

<file path=xl/sharedStrings.xml><?xml version="1.0" encoding="utf-8"?>
<sst xmlns="http://schemas.openxmlformats.org/spreadsheetml/2006/main" count="1197" uniqueCount="192">
  <si>
    <t>SHIFT</t>
  </si>
  <si>
    <t>Respiratory Therapy Service</t>
  </si>
  <si>
    <t>Nutritionist I</t>
  </si>
  <si>
    <t>FSF: 0000024079</t>
  </si>
  <si>
    <t>General Healthcare Resources</t>
  </si>
  <si>
    <t>Submit Purchase Orders to:</t>
  </si>
  <si>
    <t>FSF: 0000018564</t>
  </si>
  <si>
    <t>Request Staffing:</t>
  </si>
  <si>
    <t>Jeanine Sgroi</t>
  </si>
  <si>
    <t>PH: (877) 664-6661</t>
  </si>
  <si>
    <t>Fax: (302) 998-0298</t>
  </si>
  <si>
    <t>Email: jsgroi@ghresources.com</t>
  </si>
  <si>
    <t>Maxim Healthcare Services, Inc. /dba/ Maxim Staffing Solutions</t>
  </si>
  <si>
    <t>Email: WilmingtonDEStaffing@maxhealth.com</t>
  </si>
  <si>
    <t>FSF: 0000030181</t>
  </si>
  <si>
    <t>Favorite Healthcare Staffing, Inc.</t>
  </si>
  <si>
    <t>PH: 302-477-1301</t>
  </si>
  <si>
    <t>PH: (856)321-0905</t>
  </si>
  <si>
    <t>Fax: (856) 321-0897</t>
  </si>
  <si>
    <t>Email: cherryhill@favoritestaffing.com</t>
  </si>
  <si>
    <t>Overland Park, KS  66212</t>
  </si>
  <si>
    <t>Building 5. Suite 150</t>
  </si>
  <si>
    <t>GSS14113-TEMPNURSELTCV01</t>
  </si>
  <si>
    <t>GSS14113-TEMPNURSELTCV02</t>
  </si>
  <si>
    <t>7255 West 98th Terrace</t>
  </si>
  <si>
    <t>2250 Hickory Road, Suite 240</t>
  </si>
  <si>
    <t>Debbie Anderson</t>
  </si>
  <si>
    <t>Plymouth Meeting, PA  19462</t>
  </si>
  <si>
    <t>Fax: 877-839-6756</t>
  </si>
  <si>
    <t>7227 Lee Defrost Drive</t>
  </si>
  <si>
    <t>Columbia, MD  21046</t>
  </si>
  <si>
    <t>Point of Contact</t>
  </si>
  <si>
    <t>Interim Healthcare of Delaware, LLC</t>
  </si>
  <si>
    <t>FSF:  0000061538</t>
  </si>
  <si>
    <t>GSS14113-TEMPNURSELTCV03</t>
  </si>
  <si>
    <t>GSS14113-TEMPNURSELTCV04</t>
  </si>
  <si>
    <t>Shore Staffing, Inc.</t>
  </si>
  <si>
    <t>PH:   302-322-2743 x 304</t>
  </si>
  <si>
    <t xml:space="preserve">Tiffani Taylor </t>
  </si>
  <si>
    <t>Fax:  (302) 223-6093</t>
  </si>
  <si>
    <t>Patti Newcomb</t>
  </si>
  <si>
    <t>Fax:  (302) 328-5086</t>
  </si>
  <si>
    <t>PH: (302) 322-2743 Ext. 403</t>
  </si>
  <si>
    <t xml:space="preserve">Submit Purchase Orders to:  </t>
  </si>
  <si>
    <t>Bonnie Mackenzie</t>
  </si>
  <si>
    <t>3109 Fair Island Lane</t>
  </si>
  <si>
    <t>Marion Station, MD  21838</t>
  </si>
  <si>
    <t xml:space="preserve">Request Staffing:  </t>
  </si>
  <si>
    <t>Heather Gardner</t>
  </si>
  <si>
    <t>Emil:  heather@shorestaffing.com</t>
  </si>
  <si>
    <t>Email:  pnewcomb@interimhealthcare.com</t>
  </si>
  <si>
    <t>Email:  titaylor@interimhealthcare.com</t>
  </si>
  <si>
    <t>FAVORITE HEALTHCARE STAFFING, INC.</t>
  </si>
  <si>
    <t>$83.00 - $85.00</t>
  </si>
  <si>
    <t>$85.00 - $87.00</t>
  </si>
  <si>
    <t>$87.00 - $89.00</t>
  </si>
  <si>
    <t>$89.00 - $91.00</t>
  </si>
  <si>
    <t>$112.05 - $114.75</t>
  </si>
  <si>
    <t>$114.75 - $117.45</t>
  </si>
  <si>
    <t>$117.45 - $120.15</t>
  </si>
  <si>
    <t>$120.15 - $122.85</t>
  </si>
  <si>
    <t>GSS14113-TEMPNURSELTC</t>
  </si>
  <si>
    <t>GENERAL HEALTHCARE RESOURCES</t>
  </si>
  <si>
    <t>INTERIM HEALTHCARE OF DELAWARE, LLC</t>
  </si>
  <si>
    <t>MAXIM HEALTHCARE SERVICES, INC.  Dba:  MAXIM STAFFING SOLUTIONS</t>
  </si>
  <si>
    <t>SHORE STAFFING, INC.</t>
  </si>
  <si>
    <t>FSF:  0000006196</t>
  </si>
  <si>
    <t>Dental Assistant</t>
  </si>
  <si>
    <t xml:space="preserve">Experienced Compliance Nurse </t>
  </si>
  <si>
    <t>100 South Main Street, Suite 203</t>
  </si>
  <si>
    <t>Smyrna, De  19977</t>
  </si>
  <si>
    <t xml:space="preserve">PH: (302) 444-6977 or (410) 957-2800  </t>
  </si>
  <si>
    <t>Fax:  (410) 630-7280</t>
  </si>
  <si>
    <t>Pharmacist Administrator</t>
  </si>
  <si>
    <t>Compliance Nurse Licensure Only</t>
  </si>
  <si>
    <t>Mayttee Tereshko</t>
  </si>
  <si>
    <t>Charles Bolinger</t>
  </si>
  <si>
    <t>Amanda Narcise</t>
  </si>
  <si>
    <t>PH: (800) 879-4471</t>
  </si>
  <si>
    <t>Fax: (610) 834-7525</t>
  </si>
  <si>
    <t>Email: pharm@ghresources.com</t>
  </si>
  <si>
    <t>Request Pharmacist Staffing:</t>
  </si>
  <si>
    <t>Epidemiologist I</t>
  </si>
  <si>
    <t>Epidemiologist II</t>
  </si>
  <si>
    <t>Epidemiologist III</t>
  </si>
  <si>
    <t>Epidemiologist IIV</t>
  </si>
  <si>
    <t>$53.00 </t>
  </si>
  <si>
    <t>$79.50 </t>
  </si>
  <si>
    <t>$58.00 </t>
  </si>
  <si>
    <t>$74.00 </t>
  </si>
  <si>
    <t>Hourly Rate</t>
  </si>
  <si>
    <t>NO BID</t>
  </si>
  <si>
    <t>No Bid</t>
  </si>
  <si>
    <t>$32.00 - $34.00</t>
  </si>
  <si>
    <t>$35.00 - $36.00</t>
  </si>
  <si>
    <t>$33.00 - $35.00</t>
  </si>
  <si>
    <t>$35.50 - $37.00</t>
  </si>
  <si>
    <t>$34.00 - $36.50</t>
  </si>
  <si>
    <t>$36.50 - $38.50</t>
  </si>
  <si>
    <t>$25.00 - $28.00</t>
  </si>
  <si>
    <t>$26.00 - $29.00</t>
  </si>
  <si>
    <t>$25.50 - $28.50</t>
  </si>
  <si>
    <t>$26.50 - $29.50</t>
  </si>
  <si>
    <t>$27.00 - $31.00</t>
  </si>
  <si>
    <t>$13.00 - $15.00</t>
  </si>
  <si>
    <t>$15.00 - $17.00</t>
  </si>
  <si>
    <t>$35.00 - $37.00</t>
  </si>
  <si>
    <t>$41.00 - $43.00</t>
  </si>
  <si>
    <t>$29.00 - $33.00</t>
  </si>
  <si>
    <t>$33.00-$36.00</t>
  </si>
  <si>
    <t>$49.50-$54.00</t>
  </si>
  <si>
    <t>$26.00-$29.00</t>
  </si>
  <si>
    <t>$39.00--43.50</t>
  </si>
  <si>
    <t>$13.00-$15.00</t>
  </si>
  <si>
    <t>$20.25-$22.50</t>
  </si>
  <si>
    <t>$33.00-$35.00</t>
  </si>
  <si>
    <t>$49.25-$52.50</t>
  </si>
  <si>
    <t>$60.00-$62.00</t>
  </si>
  <si>
    <t>$90.00-$93.00</t>
  </si>
  <si>
    <t>Weekday, 7am - 3pm</t>
  </si>
  <si>
    <t>Weekday, 3pm - 11pm</t>
  </si>
  <si>
    <t>Weekend, 7am - 3pm</t>
  </si>
  <si>
    <t>Weekend, 3pm - 11pm</t>
  </si>
  <si>
    <t>$52.00 - $54.00</t>
  </si>
  <si>
    <t>$54.00 - $56.00</t>
  </si>
  <si>
    <t>$56.00 - $58.00</t>
  </si>
  <si>
    <t>$58.00 - $60.00</t>
  </si>
  <si>
    <t>$78.00 - $81.00</t>
  </si>
  <si>
    <t>$81.00 - $84.00</t>
  </si>
  <si>
    <t>$84.00 - $87.00</t>
  </si>
  <si>
    <t>$87.00 - $90.00</t>
  </si>
  <si>
    <t>$30.00 - $35.00</t>
  </si>
  <si>
    <t>$62.00 - $65.00</t>
  </si>
  <si>
    <t xml:space="preserve">PAY RATE  </t>
  </si>
  <si>
    <t xml:space="preserve">BILL RATE </t>
  </si>
  <si>
    <t>MARKUP PERCENT</t>
  </si>
  <si>
    <t xml:space="preserve">HOLIDAY
 PAY RATE </t>
  </si>
  <si>
    <t xml:space="preserve">HOLIDAY
 BILL RATE  </t>
  </si>
  <si>
    <t>HOLIDAY 
MARKUP PERCENT</t>
  </si>
  <si>
    <t>$33.00 - $36.00</t>
  </si>
  <si>
    <t>$25.00 - $29.00</t>
  </si>
  <si>
    <t>$12.00 - $15.00</t>
  </si>
  <si>
    <t>$45.00 - $50.00</t>
  </si>
  <si>
    <t>$25.00 - $27.00</t>
  </si>
  <si>
    <t>$34.5 - $37.50</t>
  </si>
  <si>
    <t>$63.00 - $69.00</t>
  </si>
  <si>
    <t>$18.00 - $22.50</t>
  </si>
  <si>
    <t>$37.50 - $43.50</t>
  </si>
  <si>
    <t>$49.50 - $54.00</t>
  </si>
  <si>
    <t>$28.00 - $35.00</t>
  </si>
  <si>
    <t>$42.00 -$52.50</t>
  </si>
  <si>
    <t>Sussex County</t>
  </si>
  <si>
    <t>Kent County</t>
  </si>
  <si>
    <t>New Castle County</t>
  </si>
  <si>
    <t>Registered Nurse
(RN)</t>
  </si>
  <si>
    <t>Licensed Practical Nurse
(LPN)</t>
  </si>
  <si>
    <t>Certified Nursing Assistant
(CNA)</t>
  </si>
  <si>
    <t>Advanced Practice Nurse 
(APN)</t>
  </si>
  <si>
    <t>JOB TITLE</t>
  </si>
  <si>
    <t>n/a</t>
  </si>
  <si>
    <t>$58.00 - $62.00</t>
  </si>
  <si>
    <t>$21.00 - $31.90</t>
  </si>
  <si>
    <t>$32.00 - 34.00</t>
  </si>
  <si>
    <t>$36.00 - $40.00</t>
  </si>
  <si>
    <t>$52.00 - $55.00</t>
  </si>
  <si>
    <t>$23.00 - $27.00</t>
  </si>
  <si>
    <t>$58.00 - $65.00</t>
  </si>
  <si>
    <t>$30.00 - $33.00</t>
  </si>
  <si>
    <t>$30.00 - $33.00 </t>
  </si>
  <si>
    <t> $40.00 - $44.00</t>
  </si>
  <si>
    <t> $60.00 - $66.00</t>
  </si>
  <si>
    <t> $45.00 - $48.00</t>
  </si>
  <si>
    <t> $67.50 - $72.00</t>
  </si>
  <si>
    <t> $49.00 - $52.00</t>
  </si>
  <si>
    <t> $73.50 - $78.00</t>
  </si>
  <si>
    <t>Weekday, 11pm - 7am</t>
  </si>
  <si>
    <t>Weekend, 11pm - 7am</t>
  </si>
  <si>
    <t>BILL RATE  Effective 
July 1, 2018</t>
  </si>
  <si>
    <t>MARK UP %  Effective 
July 1, 2018</t>
  </si>
  <si>
    <t>HOLIDAY 
BILL RATE  Effective 
July 1, 2018</t>
  </si>
  <si>
    <t>HOLIDAY 
MARK UP %  Effective 
July 1, 2018</t>
  </si>
  <si>
    <t>$50.96 - $53.09</t>
  </si>
  <si>
    <t>$22.54 - $26.46</t>
  </si>
  <si>
    <t>$56.84 - $63.70</t>
  </si>
  <si>
    <t>HOLIDAY 
MARKUP PERCENT
Expiration
June 30, 2018</t>
  </si>
  <si>
    <t xml:space="preserve">HOLIDAY
 BILL RATE  
Expiration 
June 30,2018 </t>
  </si>
  <si>
    <t>BILL RATE 
Expiration 
June 30, 2018</t>
  </si>
  <si>
    <t>MARKUP PERCENT
Expiration 
June 30, 2018</t>
  </si>
  <si>
    <t>$19.95 - $30.31</t>
  </si>
  <si>
    <t>$14.00 - $21.00</t>
  </si>
  <si>
    <t>$38.00 - $40.00</t>
  </si>
  <si>
    <t>$18.75 - $21.00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</si>
</sst>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/>
    <xf numFmtId="0" fontId="0" fillId="3" borderId="1" xfId="0" applyFill="1" applyBorder="1"/>
    <xf numFmtId="0" fontId="2" fillId="3" borderId="4" xfId="0" applyFont="1" applyFill="1" applyBorder="1"/>
    <xf numFmtId="0" fontId="0" fillId="3" borderId="4" xfId="0" applyFont="1" applyFill="1" applyBorder="1"/>
    <xf numFmtId="0" fontId="0" fillId="4" borderId="1" xfId="0" applyFill="1" applyBorder="1"/>
    <xf numFmtId="0" fontId="2" fillId="4" borderId="4" xfId="0" applyFont="1" applyFill="1" applyBorder="1"/>
    <xf numFmtId="0" fontId="4" fillId="5" borderId="4" xfId="0" applyFont="1" applyFill="1" applyBorder="1"/>
    <xf numFmtId="0" fontId="5" fillId="4" borderId="4" xfId="0" applyFont="1" applyFill="1" applyBorder="1"/>
    <xf numFmtId="0" fontId="5" fillId="5" borderId="4" xfId="0" applyFont="1" applyFill="1" applyBorder="1"/>
    <xf numFmtId="0" fontId="0" fillId="4" borderId="4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5" borderId="2" xfId="0" applyFill="1" applyBorder="1"/>
    <xf numFmtId="0" fontId="0" fillId="0" borderId="0" xfId="0" applyBorder="1"/>
    <xf numFmtId="0" fontId="5" fillId="3" borderId="4" xfId="0" applyFont="1" applyFill="1" applyBorder="1"/>
    <xf numFmtId="0" fontId="0" fillId="5" borderId="1" xfId="0" applyFill="1" applyBorder="1"/>
    <xf numFmtId="0" fontId="0" fillId="2" borderId="1" xfId="0" applyFill="1" applyBorder="1"/>
    <xf numFmtId="0" fontId="0" fillId="6" borderId="1" xfId="0" applyFill="1" applyBorder="1"/>
    <xf numFmtId="0" fontId="5" fillId="6" borderId="4" xfId="0" applyFont="1" applyFill="1" applyBorder="1"/>
    <xf numFmtId="0" fontId="0" fillId="3" borderId="4" xfId="0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5" xfId="0" applyFill="1" applyBorder="1" applyAlignment="1">
      <alignment wrapText="1"/>
    </xf>
    <xf numFmtId="0" fontId="0" fillId="4" borderId="4" xfId="0" applyFill="1" applyBorder="1"/>
    <xf numFmtId="0" fontId="2" fillId="6" borderId="4" xfId="0" applyFont="1" applyFill="1" applyBorder="1"/>
    <xf numFmtId="0" fontId="0" fillId="6" borderId="4" xfId="0" applyFill="1" applyBorder="1"/>
    <xf numFmtId="0" fontId="0" fillId="6" borderId="2" xfId="0" applyFill="1" applyBorder="1"/>
    <xf numFmtId="0" fontId="2" fillId="2" borderId="4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3" fillId="2" borderId="4" xfId="0" applyFont="1" applyFill="1" applyBorder="1"/>
    <xf numFmtId="0" fontId="3" fillId="6" borderId="4" xfId="0" applyFont="1" applyFill="1" applyBorder="1"/>
    <xf numFmtId="0" fontId="6" fillId="0" borderId="3" xfId="0" applyFont="1" applyBorder="1"/>
    <xf numFmtId="0" fontId="6" fillId="3" borderId="4" xfId="0" applyFont="1" applyFill="1" applyBorder="1"/>
    <xf numFmtId="0" fontId="6" fillId="5" borderId="4" xfId="0" applyFont="1" applyFill="1" applyBorder="1" applyAlignment="1">
      <alignment wrapText="1"/>
    </xf>
    <xf numFmtId="0" fontId="7" fillId="7" borderId="4" xfId="0" applyFont="1" applyFill="1" applyBorder="1" applyAlignment="1">
      <alignment vertical="center" wrapText="1"/>
    </xf>
    <xf numFmtId="0" fontId="8" fillId="7" borderId="2" xfId="4" applyFill="1" applyBorder="1" applyAlignment="1">
      <alignment vertical="center" wrapText="1"/>
    </xf>
    <xf numFmtId="0" fontId="9" fillId="7" borderId="4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 wrapText="1"/>
    </xf>
    <xf numFmtId="6" fontId="0" fillId="5" borderId="3" xfId="0" applyNumberFormat="1" applyFont="1" applyFill="1" applyBorder="1" applyAlignment="1">
      <alignment horizontal="center"/>
    </xf>
    <xf numFmtId="0" fontId="0" fillId="0" borderId="0" xfId="0" applyFont="1"/>
    <xf numFmtId="8" fontId="1" fillId="5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44" fontId="0" fillId="5" borderId="3" xfId="1" applyFont="1" applyFill="1" applyBorder="1" applyAlignment="1">
      <alignment horizontal="center" vertical="center"/>
    </xf>
    <xf numFmtId="9" fontId="0" fillId="5" borderId="3" xfId="1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/>
    </xf>
    <xf numFmtId="0" fontId="0" fillId="0" borderId="10" xfId="0" applyFont="1" applyBorder="1"/>
    <xf numFmtId="0" fontId="0" fillId="0" borderId="0" xfId="0" applyFont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9" fontId="0" fillId="3" borderId="3" xfId="0" applyNumberFormat="1" applyFont="1" applyFill="1" applyBorder="1" applyAlignment="1">
      <alignment horizontal="center" vertical="center"/>
    </xf>
    <xf numFmtId="9" fontId="0" fillId="3" borderId="3" xfId="1" applyNumberFormat="1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/>
    </xf>
    <xf numFmtId="9" fontId="0" fillId="0" borderId="0" xfId="0" applyNumberFormat="1" applyFont="1"/>
    <xf numFmtId="164" fontId="0" fillId="4" borderId="3" xfId="1" applyNumberFormat="1" applyFont="1" applyFill="1" applyBorder="1" applyAlignment="1">
      <alignment horizontal="center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0" fillId="5" borderId="3" xfId="1" applyNumberFormat="1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64" fontId="0" fillId="5" borderId="3" xfId="0" applyNumberFormat="1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9" fontId="0" fillId="4" borderId="3" xfId="0" applyNumberFormat="1" applyFont="1" applyFill="1" applyBorder="1" applyAlignment="1">
      <alignment horizontal="center" vertical="center"/>
    </xf>
    <xf numFmtId="9" fontId="0" fillId="4" borderId="3" xfId="0" applyNumberFormat="1" applyFont="1" applyFill="1" applyBorder="1" applyAlignment="1">
      <alignment horizontal="center"/>
    </xf>
    <xf numFmtId="9" fontId="0" fillId="6" borderId="3" xfId="1" applyNumberFormat="1" applyFont="1" applyFill="1" applyBorder="1" applyAlignment="1">
      <alignment horizontal="center" vertical="center"/>
    </xf>
    <xf numFmtId="9" fontId="0" fillId="2" borderId="3" xfId="1" applyNumberFormat="1" applyFont="1" applyFill="1" applyBorder="1" applyAlignment="1">
      <alignment horizontal="center" vertical="center"/>
    </xf>
    <xf numFmtId="9" fontId="0" fillId="2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justify" vertical="top" wrapText="1"/>
    </xf>
    <xf numFmtId="164" fontId="0" fillId="0" borderId="3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164" fontId="0" fillId="0" borderId="3" xfId="1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8" borderId="3" xfId="0" applyFont="1" applyFill="1" applyBorder="1" applyAlignment="1">
      <alignment horizontal="justify" vertical="top" wrapText="1"/>
    </xf>
    <xf numFmtId="0" fontId="0" fillId="8" borderId="3" xfId="0" applyFont="1" applyFill="1" applyBorder="1"/>
    <xf numFmtId="0" fontId="3" fillId="8" borderId="3" xfId="0" applyFont="1" applyFill="1" applyBorder="1" applyAlignment="1">
      <alignment wrapText="1"/>
    </xf>
    <xf numFmtId="0" fontId="0" fillId="8" borderId="3" xfId="0" applyFont="1" applyFill="1" applyBorder="1" applyAlignment="1"/>
    <xf numFmtId="0" fontId="6" fillId="0" borderId="0" xfId="0" applyFont="1" applyBorder="1"/>
    <xf numFmtId="0" fontId="11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 vertical="center" wrapText="1"/>
    </xf>
    <xf numFmtId="9" fontId="0" fillId="0" borderId="3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center"/>
    </xf>
    <xf numFmtId="9" fontId="0" fillId="0" borderId="3" xfId="0" applyNumberFormat="1" applyFont="1" applyFill="1" applyBorder="1"/>
    <xf numFmtId="0" fontId="0" fillId="8" borderId="3" xfId="0" applyFont="1" applyFill="1" applyBorder="1" applyAlignment="1">
      <alignment horizontal="center" vertical="top" wrapText="1"/>
    </xf>
    <xf numFmtId="164" fontId="0" fillId="3" borderId="0" xfId="0" applyNumberFormat="1" applyFont="1" applyFill="1" applyAlignment="1">
      <alignment horizontal="center"/>
    </xf>
    <xf numFmtId="0" fontId="0" fillId="3" borderId="3" xfId="0" applyFont="1" applyFill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9" fontId="0" fillId="5" borderId="3" xfId="0" applyNumberFormat="1" applyFon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 vertical="center"/>
    </xf>
    <xf numFmtId="9" fontId="0" fillId="0" borderId="7" xfId="1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8" fontId="0" fillId="5" borderId="3" xfId="0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9" fontId="14" fillId="4" borderId="3" xfId="0" applyNumberFormat="1" applyFont="1" applyFill="1" applyBorder="1" applyAlignment="1">
      <alignment horizontal="center" vertical="center"/>
    </xf>
    <xf numFmtId="164" fontId="14" fillId="4" borderId="3" xfId="1" applyNumberFormat="1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/>
    </xf>
    <xf numFmtId="4" fontId="14" fillId="0" borderId="3" xfId="1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5" fillId="4" borderId="3" xfId="1" applyNumberFormat="1" applyFont="1" applyFill="1" applyBorder="1" applyAlignment="1">
      <alignment horizontal="center" vertical="center"/>
    </xf>
    <xf numFmtId="4" fontId="14" fillId="4" borderId="3" xfId="1" applyNumberFormat="1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/>
    </xf>
    <xf numFmtId="164" fontId="14" fillId="0" borderId="3" xfId="1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/>
    </xf>
    <xf numFmtId="7" fontId="15" fillId="4" borderId="3" xfId="1" applyNumberFormat="1" applyFont="1" applyFill="1" applyBorder="1" applyAlignment="1">
      <alignment horizontal="center" vertical="center"/>
    </xf>
    <xf numFmtId="164" fontId="14" fillId="6" borderId="3" xfId="1" applyNumberFormat="1" applyFont="1" applyFill="1" applyBorder="1" applyAlignment="1">
      <alignment horizontal="center" vertical="center"/>
    </xf>
    <xf numFmtId="9" fontId="14" fillId="6" borderId="3" xfId="1" applyNumberFormat="1" applyFont="1" applyFill="1" applyBorder="1" applyAlignment="1">
      <alignment horizontal="center" vertical="center"/>
    </xf>
    <xf numFmtId="0" fontId="14" fillId="0" borderId="0" xfId="0" applyFont="1" applyFill="1"/>
    <xf numFmtId="9" fontId="14" fillId="0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9" fontId="14" fillId="6" borderId="3" xfId="0" applyNumberFormat="1" applyFont="1" applyFill="1" applyBorder="1" applyAlignment="1">
      <alignment horizontal="center" vertical="center"/>
    </xf>
    <xf numFmtId="9" fontId="14" fillId="0" borderId="3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right"/>
    </xf>
    <xf numFmtId="164" fontId="14" fillId="2" borderId="3" xfId="1" applyNumberFormat="1" applyFont="1" applyFill="1" applyBorder="1" applyAlignment="1">
      <alignment horizontal="center" vertical="center"/>
    </xf>
    <xf numFmtId="9" fontId="14" fillId="2" borderId="3" xfId="1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9" fontId="14" fillId="2" borderId="3" xfId="0" applyNumberFormat="1" applyFont="1" applyFill="1" applyBorder="1" applyAlignment="1">
      <alignment horizontal="center" vertical="center"/>
    </xf>
    <xf numFmtId="9" fontId="14" fillId="4" borderId="3" xfId="0" applyNumberFormat="1" applyFont="1" applyFill="1" applyBorder="1" applyAlignment="1">
      <alignment horizontal="center"/>
    </xf>
    <xf numFmtId="9" fontId="14" fillId="2" borderId="3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8" borderId="8" xfId="0" applyNumberFormat="1" applyFont="1" applyFill="1" applyBorder="1" applyAlignment="1">
      <alignment horizontal="center" vertical="center"/>
    </xf>
    <xf numFmtId="0" fontId="0" fillId="8" borderId="13" xfId="0" applyNumberFormat="1" applyFont="1" applyFill="1" applyBorder="1" applyAlignment="1">
      <alignment horizontal="center" vertical="center"/>
    </xf>
    <xf numFmtId="0" fontId="0" fillId="8" borderId="7" xfId="0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0" fillId="8" borderId="8" xfId="0" applyNumberFormat="1" applyFont="1" applyFill="1" applyBorder="1" applyAlignment="1">
      <alignment horizontal="center" vertical="center" wrapText="1"/>
    </xf>
    <xf numFmtId="6" fontId="0" fillId="5" borderId="11" xfId="0" applyNumberFormat="1" applyFont="1" applyFill="1" applyBorder="1" applyAlignment="1">
      <alignment horizontal="center"/>
    </xf>
    <xf numFmtId="6" fontId="0" fillId="5" borderId="14" xfId="0" applyNumberFormat="1" applyFont="1" applyFill="1" applyBorder="1" applyAlignment="1">
      <alignment horizontal="center"/>
    </xf>
    <xf numFmtId="6" fontId="0" fillId="5" borderId="1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5">
    <cellStyle name="Currency" xfId="1" builtinId="4"/>
    <cellStyle name="Hyperlink" xfId="4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arm@ghresour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/>
  </sheetViews>
  <sheetFormatPr defaultRowHeight="15" x14ac:dyDescent="0.25"/>
  <cols>
    <col min="1" max="1" width="55.42578125" customWidth="1"/>
    <col min="2" max="2" width="2.7109375" customWidth="1"/>
    <col min="3" max="3" width="55.42578125" customWidth="1"/>
    <col min="4" max="4" width="2.7109375" customWidth="1"/>
    <col min="5" max="5" width="43.42578125" customWidth="1"/>
    <col min="6" max="6" width="2.140625" customWidth="1"/>
    <col min="7" max="7" width="55.7109375" bestFit="1" customWidth="1"/>
    <col min="8" max="8" width="3" customWidth="1"/>
    <col min="9" max="9" width="32.7109375" bestFit="1" customWidth="1"/>
  </cols>
  <sheetData>
    <row r="1" spans="1:9" x14ac:dyDescent="0.25">
      <c r="A1" s="2" t="s">
        <v>22</v>
      </c>
      <c r="B1" s="1"/>
      <c r="C1" s="5" t="s">
        <v>23</v>
      </c>
      <c r="E1" s="18" t="s">
        <v>34</v>
      </c>
      <c r="G1" s="16" t="s">
        <v>35</v>
      </c>
      <c r="I1" s="17" t="s">
        <v>61</v>
      </c>
    </row>
    <row r="2" spans="1:9" ht="13.9" customHeight="1" x14ac:dyDescent="0.25">
      <c r="A2" s="3" t="s">
        <v>15</v>
      </c>
      <c r="B2" s="1"/>
      <c r="C2" s="6" t="s">
        <v>4</v>
      </c>
      <c r="E2" s="25" t="s">
        <v>32</v>
      </c>
      <c r="G2" s="7" t="s">
        <v>12</v>
      </c>
      <c r="I2" s="28" t="s">
        <v>36</v>
      </c>
    </row>
    <row r="3" spans="1:9" s="1" customFormat="1" ht="13.9" customHeight="1" x14ac:dyDescent="0.25">
      <c r="A3" s="4" t="s">
        <v>24</v>
      </c>
      <c r="C3" s="8" t="s">
        <v>5</v>
      </c>
      <c r="E3" s="19" t="s">
        <v>5</v>
      </c>
      <c r="G3" s="9" t="s">
        <v>5</v>
      </c>
      <c r="I3" s="29" t="s">
        <v>43</v>
      </c>
    </row>
    <row r="4" spans="1:9" s="1" customFormat="1" ht="13.9" customHeight="1" x14ac:dyDescent="0.25">
      <c r="A4" s="4" t="s">
        <v>21</v>
      </c>
      <c r="C4" s="24" t="s">
        <v>26</v>
      </c>
      <c r="E4" s="32" t="s">
        <v>69</v>
      </c>
      <c r="G4" s="35" t="s">
        <v>76</v>
      </c>
      <c r="I4" s="30" t="s">
        <v>44</v>
      </c>
    </row>
    <row r="5" spans="1:9" ht="12" customHeight="1" x14ac:dyDescent="0.25">
      <c r="A5" s="20" t="s">
        <v>20</v>
      </c>
      <c r="B5" s="1"/>
      <c r="C5" s="24" t="s">
        <v>25</v>
      </c>
      <c r="E5" s="32" t="s">
        <v>70</v>
      </c>
      <c r="G5" s="11" t="s">
        <v>29</v>
      </c>
      <c r="I5" s="30" t="s">
        <v>45</v>
      </c>
    </row>
    <row r="6" spans="1:9" x14ac:dyDescent="0.25">
      <c r="A6" s="20"/>
      <c r="B6" s="1"/>
      <c r="C6" s="24" t="s">
        <v>27</v>
      </c>
      <c r="E6" s="26"/>
      <c r="G6" s="11" t="s">
        <v>30</v>
      </c>
      <c r="I6" s="30" t="s">
        <v>46</v>
      </c>
    </row>
    <row r="7" spans="1:9" x14ac:dyDescent="0.25">
      <c r="A7" s="15" t="s">
        <v>31</v>
      </c>
      <c r="B7" s="1"/>
      <c r="C7" s="24"/>
      <c r="E7" s="19" t="s">
        <v>7</v>
      </c>
      <c r="G7" s="11"/>
      <c r="I7" s="30"/>
    </row>
    <row r="8" spans="1:9" x14ac:dyDescent="0.25">
      <c r="A8" s="34" t="s">
        <v>75</v>
      </c>
      <c r="B8" s="1"/>
      <c r="C8" s="8" t="s">
        <v>7</v>
      </c>
      <c r="E8" s="26" t="s">
        <v>38</v>
      </c>
      <c r="G8" s="9" t="s">
        <v>7</v>
      </c>
      <c r="I8" s="30" t="s">
        <v>47</v>
      </c>
    </row>
    <row r="9" spans="1:9" x14ac:dyDescent="0.25">
      <c r="A9" s="4" t="s">
        <v>17</v>
      </c>
      <c r="B9" s="14"/>
      <c r="C9" s="10" t="s">
        <v>8</v>
      </c>
      <c r="E9" s="26" t="s">
        <v>37</v>
      </c>
      <c r="G9" s="12" t="s">
        <v>16</v>
      </c>
      <c r="I9" s="31" t="s">
        <v>48</v>
      </c>
    </row>
    <row r="10" spans="1:9" s="14" customFormat="1" x14ac:dyDescent="0.25">
      <c r="A10" s="4" t="s">
        <v>18</v>
      </c>
      <c r="C10" s="10" t="s">
        <v>9</v>
      </c>
      <c r="E10" s="26" t="s">
        <v>39</v>
      </c>
      <c r="G10" s="12" t="s">
        <v>28</v>
      </c>
      <c r="I10" s="31" t="s">
        <v>71</v>
      </c>
    </row>
    <row r="11" spans="1:9" ht="15.75" thickBot="1" x14ac:dyDescent="0.3">
      <c r="A11" s="4" t="s">
        <v>19</v>
      </c>
      <c r="B11" s="1"/>
      <c r="C11" s="10" t="s">
        <v>10</v>
      </c>
      <c r="D11" s="23"/>
      <c r="E11" s="27" t="s">
        <v>51</v>
      </c>
      <c r="G11" s="12" t="s">
        <v>13</v>
      </c>
      <c r="I11" s="31" t="s">
        <v>72</v>
      </c>
    </row>
    <row r="12" spans="1:9" ht="15.75" thickBot="1" x14ac:dyDescent="0.3">
      <c r="A12" s="21" t="s">
        <v>3</v>
      </c>
      <c r="B12" s="1"/>
      <c r="C12" s="10" t="s">
        <v>11</v>
      </c>
      <c r="E12" s="26" t="s">
        <v>40</v>
      </c>
      <c r="G12" s="13" t="s">
        <v>14</v>
      </c>
      <c r="I12" s="30" t="s">
        <v>49</v>
      </c>
    </row>
    <row r="13" spans="1:9" ht="15.75" thickBot="1" x14ac:dyDescent="0.3">
      <c r="B13" s="1"/>
      <c r="C13" s="24" t="s">
        <v>6</v>
      </c>
      <c r="E13" s="26" t="s">
        <v>42</v>
      </c>
      <c r="I13" s="22" t="s">
        <v>66</v>
      </c>
    </row>
    <row r="14" spans="1:9" ht="15.6" customHeight="1" x14ac:dyDescent="0.25">
      <c r="B14" s="1"/>
      <c r="C14" s="36"/>
      <c r="E14" s="26" t="s">
        <v>41</v>
      </c>
    </row>
    <row r="15" spans="1:9" x14ac:dyDescent="0.25">
      <c r="B15" s="1"/>
      <c r="C15" s="38" t="s">
        <v>81</v>
      </c>
      <c r="E15" s="26" t="s">
        <v>50</v>
      </c>
    </row>
    <row r="16" spans="1:9" ht="18" customHeight="1" thickBot="1" x14ac:dyDescent="0.3">
      <c r="B16" s="1"/>
      <c r="C16" s="39" t="s">
        <v>77</v>
      </c>
      <c r="E16" s="27" t="s">
        <v>33</v>
      </c>
    </row>
    <row r="17" spans="2:3" s="1" customFormat="1" ht="18" customHeight="1" x14ac:dyDescent="0.25">
      <c r="C17" s="39" t="s">
        <v>78</v>
      </c>
    </row>
    <row r="18" spans="2:3" ht="18" customHeight="1" x14ac:dyDescent="0.25">
      <c r="B18" s="1"/>
      <c r="C18" s="39" t="s">
        <v>79</v>
      </c>
    </row>
    <row r="19" spans="2:3" ht="15.75" thickBot="1" x14ac:dyDescent="0.3">
      <c r="B19" s="1"/>
      <c r="C19" s="37" t="s">
        <v>80</v>
      </c>
    </row>
    <row r="20" spans="2:3" ht="19.149999999999999" customHeight="1" x14ac:dyDescent="0.25">
      <c r="B20" s="1"/>
    </row>
    <row r="21" spans="2:3" x14ac:dyDescent="0.25">
      <c r="B21" s="1"/>
    </row>
    <row r="31" spans="2:3" s="1" customFormat="1" x14ac:dyDescent="0.25"/>
    <row r="32" spans="2:3" s="1" customFormat="1" x14ac:dyDescent="0.25"/>
  </sheetData>
  <hyperlinks>
    <hyperlink ref="C19" r:id="rId1" display="mailto:pharm@ghresources.com"/>
  </hyperlinks>
  <pageMargins left="0.2" right="0.2" top="0.25" bottom="0.25" header="0.3" footer="0.3"/>
  <pageSetup orientation="landscape" verticalDpi="0" r:id="rId2"/>
  <headerFooter>
    <oddFooter>&amp;RGSS14113-TEMNURSELTC PS AD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zoomScale="85" zoomScaleNormal="85" zoomScaleSheetLayoutView="47" workbookViewId="0">
      <pane xSplit="2" ySplit="3" topLeftCell="AD13" activePane="bottomRight" state="frozen"/>
      <selection pane="topRight" activeCell="C1" sqref="C1"/>
      <selection pane="bottomLeft" activeCell="A4" sqref="A4"/>
      <selection pane="bottomRight" sqref="A1:B2"/>
    </sheetView>
  </sheetViews>
  <sheetFormatPr defaultColWidth="8.85546875" defaultRowHeight="15" x14ac:dyDescent="0.25"/>
  <cols>
    <col min="1" max="1" width="29.85546875" style="64" bestFit="1" customWidth="1"/>
    <col min="2" max="2" width="21.140625" style="64" customWidth="1"/>
    <col min="3" max="4" width="16.7109375" style="51" customWidth="1"/>
    <col min="5" max="5" width="16.7109375" style="54" customWidth="1"/>
    <col min="6" max="7" width="16.7109375" style="51" customWidth="1"/>
    <col min="8" max="8" width="16.7109375" style="54" customWidth="1"/>
    <col min="9" max="9" width="1" style="51" customWidth="1"/>
    <col min="10" max="10" width="16.140625" style="51" customWidth="1"/>
    <col min="11" max="12" width="16.140625" style="54" customWidth="1"/>
    <col min="13" max="15" width="16.140625" style="51" customWidth="1"/>
    <col min="16" max="16" width="16.140625" style="54" customWidth="1"/>
    <col min="17" max="18" width="16.28515625" style="50" customWidth="1"/>
    <col min="19" max="19" width="16.28515625" style="55" customWidth="1"/>
    <col min="20" max="20" width="1" style="50" customWidth="1"/>
    <col min="21" max="21" width="16.28515625" style="55" customWidth="1"/>
    <col min="22" max="25" width="16.28515625" style="50" customWidth="1"/>
    <col min="26" max="26" width="16.28515625" style="55" customWidth="1"/>
    <col min="27" max="30" width="16.42578125" style="50" customWidth="1"/>
    <col min="31" max="31" width="1" style="55" customWidth="1"/>
    <col min="32" max="33" width="16.42578125" style="50" customWidth="1"/>
    <col min="34" max="34" width="16.42578125" style="55" customWidth="1"/>
    <col min="35" max="36" width="15.7109375" style="50" customWidth="1"/>
    <col min="37" max="37" width="15.7109375" style="55" customWidth="1"/>
    <col min="38" max="38" width="1" style="50" customWidth="1"/>
    <col min="39" max="39" width="16" style="50" customWidth="1"/>
    <col min="40" max="40" width="16" style="54" customWidth="1"/>
    <col min="41" max="41" width="16" style="64" customWidth="1"/>
    <col min="42" max="42" width="16" style="131" customWidth="1"/>
    <col min="43" max="48" width="16" style="64" customWidth="1"/>
    <col min="49" max="59" width="8.85546875" style="65"/>
    <col min="60" max="16384" width="8.85546875" style="64"/>
  </cols>
  <sheetData>
    <row r="1" spans="1:59" s="41" customFormat="1" ht="15.75" thickBot="1" x14ac:dyDescent="0.3">
      <c r="A1" s="159" t="s">
        <v>153</v>
      </c>
      <c r="B1" s="159"/>
      <c r="C1" s="51"/>
      <c r="D1" s="51"/>
      <c r="E1" s="54"/>
      <c r="F1" s="51"/>
      <c r="G1" s="51"/>
      <c r="H1" s="54"/>
      <c r="I1" s="51"/>
      <c r="J1" s="51"/>
      <c r="K1" s="54"/>
      <c r="L1" s="54"/>
      <c r="M1" s="51"/>
      <c r="N1" s="51"/>
      <c r="O1" s="51"/>
      <c r="P1" s="54"/>
      <c r="Q1" s="50"/>
      <c r="R1" s="50"/>
      <c r="S1" s="55"/>
      <c r="T1" s="50"/>
      <c r="U1" s="55"/>
      <c r="V1" s="50"/>
      <c r="W1" s="50"/>
      <c r="X1" s="50"/>
      <c r="Y1" s="50"/>
      <c r="Z1" s="55"/>
      <c r="AA1" s="50"/>
      <c r="AB1" s="50"/>
      <c r="AC1" s="50"/>
      <c r="AD1" s="50"/>
      <c r="AE1" s="55"/>
      <c r="AF1" s="50"/>
      <c r="AG1" s="50"/>
      <c r="AH1" s="55"/>
      <c r="AI1" s="50"/>
      <c r="AJ1" s="50"/>
      <c r="AK1" s="55"/>
      <c r="AL1" s="50"/>
      <c r="AM1" s="50"/>
      <c r="AN1" s="54"/>
      <c r="AP1" s="50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</row>
    <row r="2" spans="1:59" s="41" customFormat="1" ht="15.75" thickBot="1" x14ac:dyDescent="0.3">
      <c r="A2" s="160"/>
      <c r="B2" s="160"/>
      <c r="C2" s="161" t="s">
        <v>52</v>
      </c>
      <c r="D2" s="162"/>
      <c r="E2" s="162"/>
      <c r="F2" s="162"/>
      <c r="G2" s="162"/>
      <c r="H2" s="163"/>
      <c r="I2" s="88"/>
      <c r="J2" s="138" t="s">
        <v>62</v>
      </c>
      <c r="K2" s="139"/>
      <c r="L2" s="139"/>
      <c r="M2" s="139"/>
      <c r="N2" s="139"/>
      <c r="O2" s="139"/>
      <c r="P2" s="139"/>
      <c r="Q2" s="139"/>
      <c r="R2" s="139"/>
      <c r="S2" s="139"/>
      <c r="T2" s="94"/>
      <c r="U2" s="140" t="s">
        <v>63</v>
      </c>
      <c r="V2" s="141"/>
      <c r="W2" s="141"/>
      <c r="X2" s="141"/>
      <c r="Y2" s="141"/>
      <c r="Z2" s="141"/>
      <c r="AA2" s="141"/>
      <c r="AB2" s="141"/>
      <c r="AC2" s="141"/>
      <c r="AD2" s="141"/>
      <c r="AE2" s="94"/>
      <c r="AF2" s="156" t="s">
        <v>64</v>
      </c>
      <c r="AG2" s="157"/>
      <c r="AH2" s="157"/>
      <c r="AI2" s="157"/>
      <c r="AJ2" s="157"/>
      <c r="AK2" s="158"/>
      <c r="AL2" s="94"/>
      <c r="AM2" s="168" t="s">
        <v>65</v>
      </c>
      <c r="AN2" s="169"/>
      <c r="AO2" s="169"/>
      <c r="AP2" s="169"/>
      <c r="AQ2" s="169"/>
      <c r="AR2" s="169"/>
      <c r="AS2" s="169"/>
      <c r="AT2" s="169"/>
      <c r="AU2" s="169"/>
      <c r="AV2" s="170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</row>
    <row r="3" spans="1:59" s="71" customFormat="1" ht="71.45" customHeight="1" x14ac:dyDescent="0.25">
      <c r="A3" s="84" t="s">
        <v>158</v>
      </c>
      <c r="B3" s="84" t="s">
        <v>0</v>
      </c>
      <c r="C3" s="85" t="s">
        <v>133</v>
      </c>
      <c r="D3" s="85" t="s">
        <v>134</v>
      </c>
      <c r="E3" s="86" t="s">
        <v>135</v>
      </c>
      <c r="F3" s="85" t="s">
        <v>136</v>
      </c>
      <c r="G3" s="85" t="s">
        <v>137</v>
      </c>
      <c r="H3" s="86" t="s">
        <v>138</v>
      </c>
      <c r="I3" s="89"/>
      <c r="J3" s="85" t="s">
        <v>133</v>
      </c>
      <c r="K3" s="85" t="s">
        <v>186</v>
      </c>
      <c r="L3" s="86" t="s">
        <v>187</v>
      </c>
      <c r="M3" s="85" t="s">
        <v>177</v>
      </c>
      <c r="N3" s="86" t="s">
        <v>178</v>
      </c>
      <c r="O3" s="85" t="s">
        <v>136</v>
      </c>
      <c r="P3" s="85" t="s">
        <v>185</v>
      </c>
      <c r="Q3" s="86" t="s">
        <v>184</v>
      </c>
      <c r="R3" s="85" t="s">
        <v>179</v>
      </c>
      <c r="S3" s="86" t="s">
        <v>180</v>
      </c>
      <c r="T3" s="89"/>
      <c r="U3" s="85" t="s">
        <v>133</v>
      </c>
      <c r="V3" s="85" t="s">
        <v>186</v>
      </c>
      <c r="W3" s="86" t="s">
        <v>187</v>
      </c>
      <c r="X3" s="85" t="s">
        <v>177</v>
      </c>
      <c r="Y3" s="86" t="s">
        <v>178</v>
      </c>
      <c r="Z3" s="85" t="s">
        <v>136</v>
      </c>
      <c r="AA3" s="85" t="s">
        <v>185</v>
      </c>
      <c r="AB3" s="86" t="s">
        <v>184</v>
      </c>
      <c r="AC3" s="86" t="s">
        <v>179</v>
      </c>
      <c r="AD3" s="86" t="s">
        <v>180</v>
      </c>
      <c r="AE3" s="89"/>
      <c r="AF3" s="85" t="s">
        <v>133</v>
      </c>
      <c r="AG3" s="85" t="s">
        <v>134</v>
      </c>
      <c r="AH3" s="86" t="s">
        <v>135</v>
      </c>
      <c r="AI3" s="85" t="s">
        <v>136</v>
      </c>
      <c r="AJ3" s="85" t="s">
        <v>137</v>
      </c>
      <c r="AK3" s="86" t="s">
        <v>138</v>
      </c>
      <c r="AL3" s="89"/>
      <c r="AM3" s="85" t="s">
        <v>133</v>
      </c>
      <c r="AN3" s="85" t="s">
        <v>186</v>
      </c>
      <c r="AO3" s="86" t="s">
        <v>187</v>
      </c>
      <c r="AP3" s="85" t="s">
        <v>177</v>
      </c>
      <c r="AQ3" s="86" t="s">
        <v>178</v>
      </c>
      <c r="AR3" s="85" t="s">
        <v>136</v>
      </c>
      <c r="AS3" s="85" t="s">
        <v>185</v>
      </c>
      <c r="AT3" s="86" t="s">
        <v>184</v>
      </c>
      <c r="AU3" s="86" t="s">
        <v>179</v>
      </c>
      <c r="AV3" s="86" t="s">
        <v>180</v>
      </c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</row>
    <row r="4" spans="1:59" s="41" customFormat="1" x14ac:dyDescent="0.25">
      <c r="A4" s="164" t="s">
        <v>157</v>
      </c>
      <c r="B4" s="79" t="s">
        <v>119</v>
      </c>
      <c r="C4" s="43" t="s">
        <v>123</v>
      </c>
      <c r="D4" s="43" t="s">
        <v>53</v>
      </c>
      <c r="E4" s="53">
        <f>(83+85)/(52+54)-1</f>
        <v>0.58490566037735858</v>
      </c>
      <c r="F4" s="43" t="s">
        <v>127</v>
      </c>
      <c r="G4" s="43" t="s">
        <v>57</v>
      </c>
      <c r="H4" s="53">
        <f>(112.05+114.75)/(78+81)-1</f>
        <v>0.42641509433962277</v>
      </c>
      <c r="I4" s="77"/>
      <c r="J4" s="56" t="s">
        <v>107</v>
      </c>
      <c r="K4" s="112">
        <v>65</v>
      </c>
      <c r="L4" s="111">
        <f t="shared" ref="L4:L9" si="0">(K4+K4)/(41+43)-1</f>
        <v>0.54761904761904767</v>
      </c>
      <c r="M4" s="60">
        <f>K4-(K4*0.02)</f>
        <v>63.7</v>
      </c>
      <c r="N4" s="66">
        <f>(M4+M4)/(41+43)-1</f>
        <v>0.51666666666666683</v>
      </c>
      <c r="O4" s="56">
        <v>63</v>
      </c>
      <c r="P4" s="112">
        <v>97.5</v>
      </c>
      <c r="Q4" s="111">
        <f t="shared" ref="Q4:Q9" si="1">P4/O4-1</f>
        <v>0.54761904761904767</v>
      </c>
      <c r="R4" s="60">
        <f>P4-(P4*0.02)</f>
        <v>95.55</v>
      </c>
      <c r="S4" s="66">
        <f>R4/O4-1</f>
        <v>0.51666666666666661</v>
      </c>
      <c r="T4" s="75"/>
      <c r="U4" s="57" t="s">
        <v>117</v>
      </c>
      <c r="V4" s="123">
        <v>82</v>
      </c>
      <c r="W4" s="124">
        <f>(V4+V4)/(60+62)-1</f>
        <v>0.34426229508196715</v>
      </c>
      <c r="X4" s="57">
        <f>V4-(V4*0.05)</f>
        <v>77.900000000000006</v>
      </c>
      <c r="Y4" s="68">
        <f>(X4+X4)/(60+62)-1</f>
        <v>0.27704918032786896</v>
      </c>
      <c r="Z4" s="127" t="s">
        <v>118</v>
      </c>
      <c r="AA4" s="57">
        <v>123</v>
      </c>
      <c r="AB4" s="129">
        <f>(AA4+AA4)/(90+93)-1</f>
        <v>0.34426229508196715</v>
      </c>
      <c r="AC4" s="57">
        <f>AA4-(AA4*0.05)</f>
        <v>116.85</v>
      </c>
      <c r="AD4" s="68">
        <f>(AC4+AC4)/(90+93)-1</f>
        <v>0.27704918032786874</v>
      </c>
      <c r="AE4" s="75"/>
      <c r="AF4" s="58" t="s">
        <v>142</v>
      </c>
      <c r="AG4" s="58">
        <v>71</v>
      </c>
      <c r="AH4" s="46">
        <f>(AG4+AG4)/(45+50)-1</f>
        <v>0.49473684210526314</v>
      </c>
      <c r="AI4" s="58" t="s">
        <v>145</v>
      </c>
      <c r="AJ4" s="58">
        <v>104</v>
      </c>
      <c r="AK4" s="46">
        <f>(AJ4+AJ4)/(63+69)-1</f>
        <v>0.57575757575757569</v>
      </c>
      <c r="AL4" s="77"/>
      <c r="AM4" s="59">
        <v>45</v>
      </c>
      <c r="AN4" s="132">
        <f t="shared" ref="AN4" si="2">SUM(AM4*1.45)</f>
        <v>65.25</v>
      </c>
      <c r="AO4" s="133">
        <f t="shared" ref="AO4:AO43" si="3">AN4/AM4-1</f>
        <v>0.44999999999999996</v>
      </c>
      <c r="AP4" s="59">
        <f>AN4-(AN4*0.05)</f>
        <v>61.987499999999997</v>
      </c>
      <c r="AQ4" s="69">
        <f>AP4/AM4-1</f>
        <v>0.37749999999999995</v>
      </c>
      <c r="AR4" s="59">
        <f t="shared" ref="AR4" si="4">SUM(AN4)</f>
        <v>65.25</v>
      </c>
      <c r="AS4" s="132">
        <f t="shared" ref="AS4" si="5">SUM(AR4*1.45)</f>
        <v>94.612499999999997</v>
      </c>
      <c r="AT4" s="135">
        <f t="shared" ref="AT4:AT43" si="6">AS4/AR4-1</f>
        <v>0.44999999999999996</v>
      </c>
      <c r="AU4" s="59">
        <f>AS4-(AS4*0.05)</f>
        <v>89.881874999999994</v>
      </c>
      <c r="AV4" s="69">
        <f>AU4/AR4-1</f>
        <v>0.37749999999999995</v>
      </c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</row>
    <row r="5" spans="1:59" s="41" customFormat="1" x14ac:dyDescent="0.25">
      <c r="A5" s="149"/>
      <c r="B5" s="79" t="s">
        <v>120</v>
      </c>
      <c r="C5" s="43" t="s">
        <v>124</v>
      </c>
      <c r="D5" s="43" t="s">
        <v>54</v>
      </c>
      <c r="E5" s="53">
        <f>(87+85)/(54+56)-1</f>
        <v>0.56363636363636371</v>
      </c>
      <c r="F5" s="43" t="s">
        <v>128</v>
      </c>
      <c r="G5" s="43" t="s">
        <v>58</v>
      </c>
      <c r="H5" s="53">
        <f>(114.75+117.45)/(81+84)-1</f>
        <v>0.40727272727272723</v>
      </c>
      <c r="I5" s="77"/>
      <c r="J5" s="56" t="s">
        <v>107</v>
      </c>
      <c r="K5" s="112">
        <v>65</v>
      </c>
      <c r="L5" s="111">
        <f t="shared" si="0"/>
        <v>0.54761904761904767</v>
      </c>
      <c r="M5" s="60">
        <f t="shared" ref="M5:M9" si="7">K5-(K5*0.02)</f>
        <v>63.7</v>
      </c>
      <c r="N5" s="66">
        <f t="shared" ref="N5:N9" si="8">(M5+M5)/(41+43)-1</f>
        <v>0.51666666666666683</v>
      </c>
      <c r="O5" s="56">
        <v>63</v>
      </c>
      <c r="P5" s="112">
        <v>97.5</v>
      </c>
      <c r="Q5" s="111">
        <f t="shared" si="1"/>
        <v>0.54761904761904767</v>
      </c>
      <c r="R5" s="60">
        <f t="shared" ref="R5:R16" si="9">P5-(P5*0.02)</f>
        <v>95.55</v>
      </c>
      <c r="S5" s="66">
        <f t="shared" ref="S5:S16" si="10">R5/O5-1</f>
        <v>0.51666666666666661</v>
      </c>
      <c r="T5" s="75"/>
      <c r="U5" s="57" t="s">
        <v>117</v>
      </c>
      <c r="V5" s="123">
        <v>82</v>
      </c>
      <c r="W5" s="124">
        <f t="shared" ref="W5:W9" si="11">(V5+V5)/(60+62)-1</f>
        <v>0.34426229508196715</v>
      </c>
      <c r="X5" s="57">
        <f t="shared" ref="X5:X16" si="12">V5-(V5*0.05)</f>
        <v>77.900000000000006</v>
      </c>
      <c r="Y5" s="68">
        <f t="shared" ref="Y5:Y9" si="13">(X5+X5)/(60+62)-1</f>
        <v>0.27704918032786896</v>
      </c>
      <c r="Z5" s="127" t="s">
        <v>118</v>
      </c>
      <c r="AA5" s="123">
        <v>123</v>
      </c>
      <c r="AB5" s="129">
        <f t="shared" ref="AB5:AB9" si="14">(AA5+AA5)/(90+93)-1</f>
        <v>0.34426229508196715</v>
      </c>
      <c r="AC5" s="57">
        <f t="shared" ref="AC5:AC16" si="15">AA5-(AA5*0.05)</f>
        <v>116.85</v>
      </c>
      <c r="AD5" s="68">
        <f t="shared" ref="AD5:AD9" si="16">(AC5+AC5)/(90+93)-1</f>
        <v>0.27704918032786874</v>
      </c>
      <c r="AE5" s="75"/>
      <c r="AF5" s="58" t="s">
        <v>142</v>
      </c>
      <c r="AG5" s="58">
        <v>71</v>
      </c>
      <c r="AH5" s="46">
        <f t="shared" ref="AH5:AH9" si="17">(AG5+AG5)/(45+50)-1</f>
        <v>0.49473684210526314</v>
      </c>
      <c r="AI5" s="58" t="s">
        <v>145</v>
      </c>
      <c r="AJ5" s="58">
        <v>104</v>
      </c>
      <c r="AK5" s="46">
        <f t="shared" ref="AK5:AK9" si="18">(AJ5+AJ5)/(63+69)-1</f>
        <v>0.57575757575757569</v>
      </c>
      <c r="AL5" s="77"/>
      <c r="AM5" s="59">
        <v>47</v>
      </c>
      <c r="AN5" s="132">
        <f>SUM(AM5*1.45)</f>
        <v>68.149999999999991</v>
      </c>
      <c r="AO5" s="133">
        <f t="shared" si="3"/>
        <v>0.44999999999999973</v>
      </c>
      <c r="AP5" s="59">
        <f t="shared" ref="AP5:AP16" si="19">AN5-(AN5*0.05)</f>
        <v>64.742499999999993</v>
      </c>
      <c r="AQ5" s="69">
        <f t="shared" ref="AQ5:AQ15" si="20">AP5/AM5-1</f>
        <v>0.37749999999999995</v>
      </c>
      <c r="AR5" s="59">
        <f>SUM(AN5)</f>
        <v>68.149999999999991</v>
      </c>
      <c r="AS5" s="132">
        <f>SUM(AR5*1.45)</f>
        <v>98.817499999999981</v>
      </c>
      <c r="AT5" s="135">
        <f t="shared" si="6"/>
        <v>0.44999999999999996</v>
      </c>
      <c r="AU5" s="59">
        <f t="shared" ref="AU5:AU16" si="21">AS5-(AS5*0.05)</f>
        <v>93.876624999999976</v>
      </c>
      <c r="AV5" s="69">
        <f t="shared" ref="AV5:AV16" si="22">AU5/AR5-1</f>
        <v>0.37749999999999972</v>
      </c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</row>
    <row r="6" spans="1:59" s="41" customFormat="1" x14ac:dyDescent="0.25">
      <c r="A6" s="149"/>
      <c r="B6" s="79" t="s">
        <v>175</v>
      </c>
      <c r="C6" s="43" t="s">
        <v>125</v>
      </c>
      <c r="D6" s="43" t="s">
        <v>55</v>
      </c>
      <c r="E6" s="53">
        <f>(87+89)/(56+58)-1</f>
        <v>0.54385964912280693</v>
      </c>
      <c r="F6" s="43" t="s">
        <v>129</v>
      </c>
      <c r="G6" s="43" t="s">
        <v>59</v>
      </c>
      <c r="H6" s="53">
        <f>(117.45+120.15)/(84+87)-1</f>
        <v>0.38947368421052642</v>
      </c>
      <c r="I6" s="77"/>
      <c r="J6" s="56" t="s">
        <v>107</v>
      </c>
      <c r="K6" s="112">
        <v>65</v>
      </c>
      <c r="L6" s="111">
        <f t="shared" si="0"/>
        <v>0.54761904761904767</v>
      </c>
      <c r="M6" s="60">
        <f t="shared" si="7"/>
        <v>63.7</v>
      </c>
      <c r="N6" s="66">
        <f t="shared" si="8"/>
        <v>0.51666666666666683</v>
      </c>
      <c r="O6" s="56">
        <v>63</v>
      </c>
      <c r="P6" s="112">
        <v>97.5</v>
      </c>
      <c r="Q6" s="111">
        <f t="shared" si="1"/>
        <v>0.54761904761904767</v>
      </c>
      <c r="R6" s="60">
        <f t="shared" si="9"/>
        <v>95.55</v>
      </c>
      <c r="S6" s="66">
        <f t="shared" si="10"/>
        <v>0.51666666666666661</v>
      </c>
      <c r="T6" s="75"/>
      <c r="U6" s="57" t="s">
        <v>117</v>
      </c>
      <c r="V6" s="123">
        <v>82</v>
      </c>
      <c r="W6" s="124">
        <f t="shared" si="11"/>
        <v>0.34426229508196715</v>
      </c>
      <c r="X6" s="57">
        <f t="shared" si="12"/>
        <v>77.900000000000006</v>
      </c>
      <c r="Y6" s="68">
        <f t="shared" si="13"/>
        <v>0.27704918032786896</v>
      </c>
      <c r="Z6" s="127" t="s">
        <v>118</v>
      </c>
      <c r="AA6" s="123">
        <v>123</v>
      </c>
      <c r="AB6" s="129">
        <f t="shared" si="14"/>
        <v>0.34426229508196715</v>
      </c>
      <c r="AC6" s="57">
        <f t="shared" si="15"/>
        <v>116.85</v>
      </c>
      <c r="AD6" s="68">
        <f t="shared" si="16"/>
        <v>0.27704918032786874</v>
      </c>
      <c r="AE6" s="75"/>
      <c r="AF6" s="58" t="s">
        <v>142</v>
      </c>
      <c r="AG6" s="58">
        <v>71</v>
      </c>
      <c r="AH6" s="46">
        <f t="shared" si="17"/>
        <v>0.49473684210526314</v>
      </c>
      <c r="AI6" s="58" t="s">
        <v>145</v>
      </c>
      <c r="AJ6" s="58">
        <v>104</v>
      </c>
      <c r="AK6" s="46">
        <f t="shared" si="18"/>
        <v>0.57575757575757569</v>
      </c>
      <c r="AL6" s="77"/>
      <c r="AM6" s="59">
        <v>49</v>
      </c>
      <c r="AN6" s="132">
        <f>SUM(AM6*1.45)</f>
        <v>71.05</v>
      </c>
      <c r="AO6" s="133">
        <f t="shared" si="3"/>
        <v>0.44999999999999996</v>
      </c>
      <c r="AP6" s="59">
        <f t="shared" si="19"/>
        <v>67.497500000000002</v>
      </c>
      <c r="AQ6" s="69">
        <f t="shared" si="20"/>
        <v>0.37749999999999995</v>
      </c>
      <c r="AR6" s="59">
        <f>SUM(AN6)</f>
        <v>71.05</v>
      </c>
      <c r="AS6" s="132">
        <f>SUM(AR6*1.45)</f>
        <v>103.02249999999999</v>
      </c>
      <c r="AT6" s="135">
        <f t="shared" si="6"/>
        <v>0.44999999999999996</v>
      </c>
      <c r="AU6" s="59">
        <f t="shared" si="21"/>
        <v>97.871375</v>
      </c>
      <c r="AV6" s="69">
        <f t="shared" si="22"/>
        <v>0.37750000000000017</v>
      </c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</row>
    <row r="7" spans="1:59" s="41" customFormat="1" x14ac:dyDescent="0.25">
      <c r="A7" s="149"/>
      <c r="B7" s="79" t="s">
        <v>121</v>
      </c>
      <c r="C7" s="43" t="s">
        <v>123</v>
      </c>
      <c r="D7" s="43" t="s">
        <v>53</v>
      </c>
      <c r="E7" s="53">
        <f>(83+85)/(52+54)-1</f>
        <v>0.58490566037735858</v>
      </c>
      <c r="F7" s="43" t="s">
        <v>127</v>
      </c>
      <c r="G7" s="43" t="s">
        <v>57</v>
      </c>
      <c r="H7" s="53">
        <f>(112.05+114.75)/(78+81)-1</f>
        <v>0.42641509433962277</v>
      </c>
      <c r="I7" s="77"/>
      <c r="J7" s="56" t="s">
        <v>107</v>
      </c>
      <c r="K7" s="112">
        <v>65</v>
      </c>
      <c r="L7" s="111">
        <f t="shared" si="0"/>
        <v>0.54761904761904767</v>
      </c>
      <c r="M7" s="60">
        <f t="shared" si="7"/>
        <v>63.7</v>
      </c>
      <c r="N7" s="66">
        <f t="shared" si="8"/>
        <v>0.51666666666666683</v>
      </c>
      <c r="O7" s="56">
        <v>63</v>
      </c>
      <c r="P7" s="112">
        <v>97.5</v>
      </c>
      <c r="Q7" s="111">
        <f t="shared" si="1"/>
        <v>0.54761904761904767</v>
      </c>
      <c r="R7" s="60">
        <f t="shared" si="9"/>
        <v>95.55</v>
      </c>
      <c r="S7" s="66">
        <f t="shared" si="10"/>
        <v>0.51666666666666661</v>
      </c>
      <c r="T7" s="75"/>
      <c r="U7" s="57" t="s">
        <v>117</v>
      </c>
      <c r="V7" s="123">
        <v>82</v>
      </c>
      <c r="W7" s="124">
        <f t="shared" si="11"/>
        <v>0.34426229508196715</v>
      </c>
      <c r="X7" s="57">
        <f t="shared" si="12"/>
        <v>77.900000000000006</v>
      </c>
      <c r="Y7" s="68">
        <f t="shared" si="13"/>
        <v>0.27704918032786896</v>
      </c>
      <c r="Z7" s="127" t="s">
        <v>118</v>
      </c>
      <c r="AA7" s="123">
        <v>123</v>
      </c>
      <c r="AB7" s="129">
        <f t="shared" si="14"/>
        <v>0.34426229508196715</v>
      </c>
      <c r="AC7" s="57">
        <f t="shared" si="15"/>
        <v>116.85</v>
      </c>
      <c r="AD7" s="68">
        <f t="shared" si="16"/>
        <v>0.27704918032786874</v>
      </c>
      <c r="AE7" s="75"/>
      <c r="AF7" s="58" t="s">
        <v>142</v>
      </c>
      <c r="AG7" s="58">
        <v>71</v>
      </c>
      <c r="AH7" s="46">
        <f t="shared" si="17"/>
        <v>0.49473684210526314</v>
      </c>
      <c r="AI7" s="58" t="s">
        <v>145</v>
      </c>
      <c r="AJ7" s="58">
        <v>104</v>
      </c>
      <c r="AK7" s="46">
        <f t="shared" si="18"/>
        <v>0.57575757575757569</v>
      </c>
      <c r="AL7" s="77"/>
      <c r="AM7" s="59">
        <v>47</v>
      </c>
      <c r="AN7" s="132">
        <f>SUM(AM7*1.45)</f>
        <v>68.149999999999991</v>
      </c>
      <c r="AO7" s="133">
        <f t="shared" si="3"/>
        <v>0.44999999999999973</v>
      </c>
      <c r="AP7" s="59">
        <f t="shared" si="19"/>
        <v>64.742499999999993</v>
      </c>
      <c r="AQ7" s="69">
        <f t="shared" si="20"/>
        <v>0.37749999999999995</v>
      </c>
      <c r="AR7" s="59">
        <f>SUM(AN7)</f>
        <v>68.149999999999991</v>
      </c>
      <c r="AS7" s="132">
        <f>SUM(AR7*1.45)</f>
        <v>98.817499999999981</v>
      </c>
      <c r="AT7" s="135">
        <f t="shared" si="6"/>
        <v>0.44999999999999996</v>
      </c>
      <c r="AU7" s="59">
        <f t="shared" si="21"/>
        <v>93.876624999999976</v>
      </c>
      <c r="AV7" s="69">
        <f t="shared" si="22"/>
        <v>0.37749999999999972</v>
      </c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</row>
    <row r="8" spans="1:59" s="41" customFormat="1" x14ac:dyDescent="0.25">
      <c r="A8" s="149"/>
      <c r="B8" s="79" t="s">
        <v>122</v>
      </c>
      <c r="C8" s="43" t="s">
        <v>124</v>
      </c>
      <c r="D8" s="43" t="s">
        <v>54</v>
      </c>
      <c r="E8" s="53">
        <f>(85+87)/(54+56)-1</f>
        <v>0.56363636363636371</v>
      </c>
      <c r="F8" s="43" t="s">
        <v>128</v>
      </c>
      <c r="G8" s="43" t="s">
        <v>58</v>
      </c>
      <c r="H8" s="53">
        <f>(114.75+117.45)/(81+84)-1</f>
        <v>0.40727272727272723</v>
      </c>
      <c r="I8" s="77"/>
      <c r="J8" s="56" t="s">
        <v>107</v>
      </c>
      <c r="K8" s="112">
        <v>65</v>
      </c>
      <c r="L8" s="111">
        <f t="shared" si="0"/>
        <v>0.54761904761904767</v>
      </c>
      <c r="M8" s="60">
        <f t="shared" si="7"/>
        <v>63.7</v>
      </c>
      <c r="N8" s="66">
        <f t="shared" si="8"/>
        <v>0.51666666666666683</v>
      </c>
      <c r="O8" s="56">
        <v>63</v>
      </c>
      <c r="P8" s="112">
        <v>97.5</v>
      </c>
      <c r="Q8" s="111">
        <f t="shared" si="1"/>
        <v>0.54761904761904767</v>
      </c>
      <c r="R8" s="60">
        <f t="shared" si="9"/>
        <v>95.55</v>
      </c>
      <c r="S8" s="66">
        <f t="shared" si="10"/>
        <v>0.51666666666666661</v>
      </c>
      <c r="T8" s="75"/>
      <c r="U8" s="57" t="s">
        <v>117</v>
      </c>
      <c r="V8" s="123">
        <v>82</v>
      </c>
      <c r="W8" s="124">
        <f t="shared" si="11"/>
        <v>0.34426229508196715</v>
      </c>
      <c r="X8" s="57">
        <f t="shared" si="12"/>
        <v>77.900000000000006</v>
      </c>
      <c r="Y8" s="68">
        <f t="shared" si="13"/>
        <v>0.27704918032786896</v>
      </c>
      <c r="Z8" s="127" t="s">
        <v>118</v>
      </c>
      <c r="AA8" s="123">
        <v>123</v>
      </c>
      <c r="AB8" s="129">
        <f t="shared" si="14"/>
        <v>0.34426229508196715</v>
      </c>
      <c r="AC8" s="57">
        <f t="shared" si="15"/>
        <v>116.85</v>
      </c>
      <c r="AD8" s="68">
        <f t="shared" si="16"/>
        <v>0.27704918032786874</v>
      </c>
      <c r="AE8" s="75"/>
      <c r="AF8" s="58" t="s">
        <v>142</v>
      </c>
      <c r="AG8" s="58">
        <v>71</v>
      </c>
      <c r="AH8" s="46">
        <f t="shared" si="17"/>
        <v>0.49473684210526314</v>
      </c>
      <c r="AI8" s="58" t="s">
        <v>145</v>
      </c>
      <c r="AJ8" s="58">
        <v>104</v>
      </c>
      <c r="AK8" s="46">
        <f t="shared" si="18"/>
        <v>0.57575757575757569</v>
      </c>
      <c r="AL8" s="77"/>
      <c r="AM8" s="59">
        <v>49</v>
      </c>
      <c r="AN8" s="132">
        <f>SUM(AM8*1.45)</f>
        <v>71.05</v>
      </c>
      <c r="AO8" s="133">
        <f t="shared" si="3"/>
        <v>0.44999999999999996</v>
      </c>
      <c r="AP8" s="59">
        <f t="shared" si="19"/>
        <v>67.497500000000002</v>
      </c>
      <c r="AQ8" s="69">
        <f t="shared" si="20"/>
        <v>0.37749999999999995</v>
      </c>
      <c r="AR8" s="59">
        <f>SUM(AN8)</f>
        <v>71.05</v>
      </c>
      <c r="AS8" s="132">
        <f>SUM(AR8*1.45)</f>
        <v>103.02249999999999</v>
      </c>
      <c r="AT8" s="135">
        <f t="shared" si="6"/>
        <v>0.44999999999999996</v>
      </c>
      <c r="AU8" s="59">
        <f t="shared" si="21"/>
        <v>97.871375</v>
      </c>
      <c r="AV8" s="69">
        <f t="shared" si="22"/>
        <v>0.37750000000000017</v>
      </c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</row>
    <row r="9" spans="1:59" s="41" customFormat="1" x14ac:dyDescent="0.25">
      <c r="A9" s="150"/>
      <c r="B9" s="79" t="s">
        <v>176</v>
      </c>
      <c r="C9" s="43" t="s">
        <v>126</v>
      </c>
      <c r="D9" s="43" t="s">
        <v>56</v>
      </c>
      <c r="E9" s="53">
        <f>(89+91)/(58+60)-1</f>
        <v>0.52542372881355925</v>
      </c>
      <c r="F9" s="43" t="s">
        <v>130</v>
      </c>
      <c r="G9" s="43" t="s">
        <v>60</v>
      </c>
      <c r="H9" s="53">
        <f>(120.15+122.85)/(87+90)-1</f>
        <v>0.37288135593220328</v>
      </c>
      <c r="I9" s="77"/>
      <c r="J9" s="56" t="s">
        <v>107</v>
      </c>
      <c r="K9" s="112">
        <v>65</v>
      </c>
      <c r="L9" s="111">
        <f t="shared" si="0"/>
        <v>0.54761904761904767</v>
      </c>
      <c r="M9" s="60">
        <f t="shared" si="7"/>
        <v>63.7</v>
      </c>
      <c r="N9" s="66">
        <f t="shared" si="8"/>
        <v>0.51666666666666683</v>
      </c>
      <c r="O9" s="56">
        <v>63</v>
      </c>
      <c r="P9" s="112">
        <v>97.5</v>
      </c>
      <c r="Q9" s="111">
        <f t="shared" si="1"/>
        <v>0.54761904761904767</v>
      </c>
      <c r="R9" s="60">
        <f t="shared" si="9"/>
        <v>95.55</v>
      </c>
      <c r="S9" s="66">
        <f t="shared" si="10"/>
        <v>0.51666666666666661</v>
      </c>
      <c r="T9" s="75"/>
      <c r="U9" s="57" t="s">
        <v>117</v>
      </c>
      <c r="V9" s="123">
        <v>82</v>
      </c>
      <c r="W9" s="124">
        <f t="shared" si="11"/>
        <v>0.34426229508196715</v>
      </c>
      <c r="X9" s="57">
        <f t="shared" si="12"/>
        <v>77.900000000000006</v>
      </c>
      <c r="Y9" s="68">
        <f t="shared" si="13"/>
        <v>0.27704918032786896</v>
      </c>
      <c r="Z9" s="127" t="s">
        <v>118</v>
      </c>
      <c r="AA9" s="123">
        <v>123</v>
      </c>
      <c r="AB9" s="129">
        <f t="shared" si="14"/>
        <v>0.34426229508196715</v>
      </c>
      <c r="AC9" s="57">
        <f t="shared" si="15"/>
        <v>116.85</v>
      </c>
      <c r="AD9" s="68">
        <f t="shared" si="16"/>
        <v>0.27704918032786874</v>
      </c>
      <c r="AE9" s="75"/>
      <c r="AF9" s="58" t="s">
        <v>142</v>
      </c>
      <c r="AG9" s="58">
        <v>71</v>
      </c>
      <c r="AH9" s="46">
        <f t="shared" si="17"/>
        <v>0.49473684210526314</v>
      </c>
      <c r="AI9" s="58" t="s">
        <v>145</v>
      </c>
      <c r="AJ9" s="58">
        <v>104</v>
      </c>
      <c r="AK9" s="46">
        <f t="shared" si="18"/>
        <v>0.57575757575757569</v>
      </c>
      <c r="AL9" s="77"/>
      <c r="AM9" s="59">
        <v>51</v>
      </c>
      <c r="AN9" s="132">
        <f t="shared" ref="AN9:AN43" si="23">SUM(AM9*1.45)</f>
        <v>73.95</v>
      </c>
      <c r="AO9" s="133">
        <f t="shared" si="3"/>
        <v>0.44999999999999996</v>
      </c>
      <c r="AP9" s="59">
        <f t="shared" si="19"/>
        <v>70.252499999999998</v>
      </c>
      <c r="AQ9" s="69">
        <f t="shared" si="20"/>
        <v>0.37749999999999995</v>
      </c>
      <c r="AR9" s="59">
        <f t="shared" ref="AR9:AR43" si="24">SUM(AN9)</f>
        <v>73.95</v>
      </c>
      <c r="AS9" s="132">
        <f t="shared" ref="AS9:AS43" si="25">SUM(AR9*1.45)</f>
        <v>107.22750000000001</v>
      </c>
      <c r="AT9" s="135">
        <f t="shared" si="6"/>
        <v>0.44999999999999996</v>
      </c>
      <c r="AU9" s="59">
        <f t="shared" si="21"/>
        <v>101.86612500000001</v>
      </c>
      <c r="AV9" s="69">
        <f t="shared" si="22"/>
        <v>0.37750000000000017</v>
      </c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</row>
    <row r="10" spans="1:59" s="78" customFormat="1" ht="8.4499999999999993" customHeight="1" x14ac:dyDescent="0.25">
      <c r="A10" s="93"/>
      <c r="B10" s="73"/>
      <c r="C10" s="76"/>
      <c r="D10" s="76"/>
      <c r="E10" s="77"/>
      <c r="F10" s="76"/>
      <c r="G10" s="76"/>
      <c r="H10" s="77"/>
      <c r="I10" s="77"/>
      <c r="J10" s="76"/>
      <c r="K10" s="76"/>
      <c r="L10" s="75"/>
      <c r="M10" s="74"/>
      <c r="N10" s="75"/>
      <c r="O10" s="76"/>
      <c r="P10" s="119"/>
      <c r="Q10" s="130"/>
      <c r="R10" s="74"/>
      <c r="S10" s="75"/>
      <c r="T10" s="75"/>
      <c r="U10" s="76"/>
      <c r="V10" s="119"/>
      <c r="W10" s="125"/>
      <c r="X10" s="77"/>
      <c r="Y10" s="77"/>
      <c r="Z10" s="128"/>
      <c r="AA10" s="119"/>
      <c r="AB10" s="130"/>
      <c r="AC10" s="75"/>
      <c r="AD10" s="75"/>
      <c r="AE10" s="75"/>
      <c r="AF10" s="76"/>
      <c r="AG10" s="76"/>
      <c r="AH10" s="77"/>
      <c r="AI10" s="76"/>
      <c r="AJ10" s="76"/>
      <c r="AK10" s="77"/>
      <c r="AL10" s="77"/>
      <c r="AM10" s="76"/>
      <c r="AN10" s="119"/>
      <c r="AO10" s="126"/>
      <c r="AP10" s="77"/>
      <c r="AQ10" s="77"/>
      <c r="AR10" s="76"/>
      <c r="AS10" s="119"/>
      <c r="AT10" s="130"/>
      <c r="AU10" s="75"/>
      <c r="AV10" s="75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</row>
    <row r="11" spans="1:59" s="41" customFormat="1" x14ac:dyDescent="0.25">
      <c r="A11" s="164" t="s">
        <v>156</v>
      </c>
      <c r="B11" s="79" t="s">
        <v>119</v>
      </c>
      <c r="C11" s="44">
        <v>14</v>
      </c>
      <c r="D11" s="44">
        <v>22</v>
      </c>
      <c r="E11" s="52">
        <f t="shared" ref="E11:E16" si="26">(D11/C11)-1</f>
        <v>0.5714285714285714</v>
      </c>
      <c r="F11" s="44">
        <v>21</v>
      </c>
      <c r="G11" s="44">
        <v>29.7</v>
      </c>
      <c r="H11" s="52">
        <f t="shared" ref="H11:H16" si="27">G11/F11-1</f>
        <v>0.41428571428571415</v>
      </c>
      <c r="I11" s="75"/>
      <c r="J11" s="60" t="s">
        <v>104</v>
      </c>
      <c r="K11" s="110">
        <v>20</v>
      </c>
      <c r="L11" s="111">
        <f>(K11+K11)/(13+15)-1</f>
        <v>0.4285714285714286</v>
      </c>
      <c r="M11" s="60">
        <f t="shared" ref="M11" si="28">K11-(K11*0.02)</f>
        <v>19.600000000000001</v>
      </c>
      <c r="N11" s="66">
        <f>(M11+M11)/(13+15)-1</f>
        <v>0.40000000000000013</v>
      </c>
      <c r="O11" s="60">
        <v>22.5</v>
      </c>
      <c r="P11" s="110">
        <v>30</v>
      </c>
      <c r="Q11" s="111">
        <f t="shared" ref="Q11:Q16" si="29">P11/O11-1</f>
        <v>0.33333333333333326</v>
      </c>
      <c r="R11" s="60">
        <f t="shared" si="9"/>
        <v>29.4</v>
      </c>
      <c r="S11" s="66">
        <f t="shared" si="10"/>
        <v>0.30666666666666664</v>
      </c>
      <c r="T11" s="75"/>
      <c r="U11" s="57" t="s">
        <v>113</v>
      </c>
      <c r="V11" s="123">
        <v>23</v>
      </c>
      <c r="W11" s="124">
        <f>(V11+V11)/(13+15)-1</f>
        <v>0.64285714285714279</v>
      </c>
      <c r="X11" s="57">
        <f t="shared" si="12"/>
        <v>21.85</v>
      </c>
      <c r="Y11" s="68">
        <f>(X11+X11)/(13+15)-1</f>
        <v>0.56071428571428572</v>
      </c>
      <c r="Z11" s="127" t="s">
        <v>114</v>
      </c>
      <c r="AA11" s="123">
        <v>34.5</v>
      </c>
      <c r="AB11" s="129">
        <f>(AA11+AA11)/(20.25+22.5)-1</f>
        <v>0.61403508771929816</v>
      </c>
      <c r="AC11" s="57">
        <f t="shared" si="15"/>
        <v>32.774999999999999</v>
      </c>
      <c r="AD11" s="68">
        <f>(AC11+AC11)/(20.25+22.5)-1</f>
        <v>0.53333333333333321</v>
      </c>
      <c r="AE11" s="75"/>
      <c r="AF11" s="58" t="s">
        <v>141</v>
      </c>
      <c r="AG11" s="58">
        <v>22</v>
      </c>
      <c r="AH11" s="46">
        <f>(AG11+AG11)/(12+15)-1</f>
        <v>0.62962962962962954</v>
      </c>
      <c r="AI11" s="58" t="s">
        <v>146</v>
      </c>
      <c r="AJ11" s="58">
        <v>31.5</v>
      </c>
      <c r="AK11" s="46">
        <f>(AJ11+AJ11)/(18+22.5)-1</f>
        <v>0.55555555555555558</v>
      </c>
      <c r="AL11" s="77"/>
      <c r="AM11" s="59">
        <v>15</v>
      </c>
      <c r="AN11" s="132">
        <f t="shared" ref="AN11:AN16" si="30">SUM(AM11*1.4)</f>
        <v>21</v>
      </c>
      <c r="AO11" s="133">
        <f t="shared" ref="AO11:AO16" si="31">AN11/AM11-1</f>
        <v>0.39999999999999991</v>
      </c>
      <c r="AP11" s="59">
        <f t="shared" si="19"/>
        <v>19.95</v>
      </c>
      <c r="AQ11" s="69">
        <f t="shared" si="20"/>
        <v>0.32999999999999985</v>
      </c>
      <c r="AR11" s="59">
        <f t="shared" ref="AR11:AR16" si="32">SUM(AN11)</f>
        <v>21</v>
      </c>
      <c r="AS11" s="132">
        <f t="shared" ref="AS11:AS16" si="33">SUM(AR11*1.4)</f>
        <v>29.4</v>
      </c>
      <c r="AT11" s="135">
        <f t="shared" ref="AT11:AT16" si="34">AS11/AR11-1</f>
        <v>0.39999999999999991</v>
      </c>
      <c r="AU11" s="59">
        <f t="shared" si="21"/>
        <v>27.93</v>
      </c>
      <c r="AV11" s="69">
        <f t="shared" si="22"/>
        <v>0.33000000000000007</v>
      </c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</row>
    <row r="12" spans="1:59" s="41" customFormat="1" x14ac:dyDescent="0.25">
      <c r="A12" s="149"/>
      <c r="B12" s="79" t="s">
        <v>120</v>
      </c>
      <c r="C12" s="44">
        <v>14</v>
      </c>
      <c r="D12" s="44">
        <v>22</v>
      </c>
      <c r="E12" s="52">
        <f t="shared" si="26"/>
        <v>0.5714285714285714</v>
      </c>
      <c r="F12" s="44">
        <v>21</v>
      </c>
      <c r="G12" s="44">
        <v>29.7</v>
      </c>
      <c r="H12" s="52">
        <f t="shared" si="27"/>
        <v>0.41428571428571415</v>
      </c>
      <c r="I12" s="75"/>
      <c r="J12" s="60" t="s">
        <v>104</v>
      </c>
      <c r="K12" s="110">
        <v>20</v>
      </c>
      <c r="L12" s="111">
        <f>(K12+K12)/(13+15)-1</f>
        <v>0.4285714285714286</v>
      </c>
      <c r="M12" s="60">
        <f t="shared" ref="M12:M13" si="35">K12-(K12*0.02)</f>
        <v>19.600000000000001</v>
      </c>
      <c r="N12" s="66">
        <f t="shared" ref="N12:N13" si="36">(M12+M12)/(13+15)-1</f>
        <v>0.40000000000000013</v>
      </c>
      <c r="O12" s="60">
        <v>22.5</v>
      </c>
      <c r="P12" s="110">
        <v>30</v>
      </c>
      <c r="Q12" s="111">
        <f t="shared" si="29"/>
        <v>0.33333333333333326</v>
      </c>
      <c r="R12" s="60">
        <f t="shared" si="9"/>
        <v>29.4</v>
      </c>
      <c r="S12" s="66">
        <f t="shared" si="10"/>
        <v>0.30666666666666664</v>
      </c>
      <c r="T12" s="75"/>
      <c r="U12" s="57" t="s">
        <v>113</v>
      </c>
      <c r="V12" s="123">
        <v>23</v>
      </c>
      <c r="W12" s="124">
        <f t="shared" ref="W12:W16" si="37">(V12+V12)/(13+15)-1</f>
        <v>0.64285714285714279</v>
      </c>
      <c r="X12" s="57">
        <f t="shared" si="12"/>
        <v>21.85</v>
      </c>
      <c r="Y12" s="68">
        <f t="shared" ref="Y12:Y16" si="38">(X12+X12)/(13+15)-1</f>
        <v>0.56071428571428572</v>
      </c>
      <c r="Z12" s="127" t="s">
        <v>114</v>
      </c>
      <c r="AA12" s="123">
        <v>34.5</v>
      </c>
      <c r="AB12" s="129">
        <f t="shared" ref="AB12:AB16" si="39">(AA12+AA12)/(20.25+22.5)-1</f>
        <v>0.61403508771929816</v>
      </c>
      <c r="AC12" s="57">
        <f t="shared" si="15"/>
        <v>32.774999999999999</v>
      </c>
      <c r="AD12" s="68">
        <f t="shared" ref="AD12:AD16" si="40">(AC12+AC12)/(20.25+22.5)-1</f>
        <v>0.53333333333333321</v>
      </c>
      <c r="AE12" s="75"/>
      <c r="AF12" s="58" t="s">
        <v>141</v>
      </c>
      <c r="AG12" s="58">
        <v>22</v>
      </c>
      <c r="AH12" s="46">
        <f t="shared" ref="AH12:AH16" si="41">(AG12+AG12)/(12+15)-1</f>
        <v>0.62962962962962954</v>
      </c>
      <c r="AI12" s="58" t="s">
        <v>146</v>
      </c>
      <c r="AJ12" s="58">
        <v>31.5</v>
      </c>
      <c r="AK12" s="46">
        <f t="shared" ref="AK12:AK16" si="42">(AJ12+AJ12)/(18+22.5)-1</f>
        <v>0.55555555555555558</v>
      </c>
      <c r="AL12" s="77"/>
      <c r="AM12" s="59">
        <v>15</v>
      </c>
      <c r="AN12" s="132">
        <f>SUM(AM12*1.4)</f>
        <v>21</v>
      </c>
      <c r="AO12" s="133">
        <f t="shared" si="31"/>
        <v>0.39999999999999991</v>
      </c>
      <c r="AP12" s="59">
        <f t="shared" si="19"/>
        <v>19.95</v>
      </c>
      <c r="AQ12" s="69">
        <f t="shared" si="20"/>
        <v>0.32999999999999985</v>
      </c>
      <c r="AR12" s="59">
        <f t="shared" si="32"/>
        <v>21</v>
      </c>
      <c r="AS12" s="132">
        <f>SUM(AR12*1.4)</f>
        <v>29.4</v>
      </c>
      <c r="AT12" s="135">
        <f t="shared" si="34"/>
        <v>0.39999999999999991</v>
      </c>
      <c r="AU12" s="59">
        <f t="shared" si="21"/>
        <v>27.93</v>
      </c>
      <c r="AV12" s="69">
        <f t="shared" si="22"/>
        <v>0.33000000000000007</v>
      </c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</row>
    <row r="13" spans="1:59" s="41" customFormat="1" x14ac:dyDescent="0.25">
      <c r="A13" s="149"/>
      <c r="B13" s="79" t="s">
        <v>175</v>
      </c>
      <c r="C13" s="44">
        <v>14</v>
      </c>
      <c r="D13" s="44">
        <v>22</v>
      </c>
      <c r="E13" s="52">
        <f t="shared" si="26"/>
        <v>0.5714285714285714</v>
      </c>
      <c r="F13" s="44">
        <v>21</v>
      </c>
      <c r="G13" s="44">
        <v>29.7</v>
      </c>
      <c r="H13" s="52">
        <f t="shared" si="27"/>
        <v>0.41428571428571415</v>
      </c>
      <c r="I13" s="75"/>
      <c r="J13" s="60" t="s">
        <v>104</v>
      </c>
      <c r="K13" s="110">
        <v>20</v>
      </c>
      <c r="L13" s="111">
        <f>(K13+K13)/(13+15)-1</f>
        <v>0.4285714285714286</v>
      </c>
      <c r="M13" s="60">
        <f t="shared" si="35"/>
        <v>19.600000000000001</v>
      </c>
      <c r="N13" s="66">
        <f t="shared" si="36"/>
        <v>0.40000000000000013</v>
      </c>
      <c r="O13" s="60">
        <v>22.5</v>
      </c>
      <c r="P13" s="110">
        <v>30</v>
      </c>
      <c r="Q13" s="111">
        <f t="shared" si="29"/>
        <v>0.33333333333333326</v>
      </c>
      <c r="R13" s="60">
        <f t="shared" si="9"/>
        <v>29.4</v>
      </c>
      <c r="S13" s="66">
        <f t="shared" si="10"/>
        <v>0.30666666666666664</v>
      </c>
      <c r="T13" s="75"/>
      <c r="U13" s="57" t="s">
        <v>113</v>
      </c>
      <c r="V13" s="123">
        <v>23</v>
      </c>
      <c r="W13" s="124">
        <f t="shared" si="37"/>
        <v>0.64285714285714279</v>
      </c>
      <c r="X13" s="57">
        <f t="shared" si="12"/>
        <v>21.85</v>
      </c>
      <c r="Y13" s="68">
        <f t="shared" si="38"/>
        <v>0.56071428571428572</v>
      </c>
      <c r="Z13" s="127" t="s">
        <v>114</v>
      </c>
      <c r="AA13" s="123">
        <v>34.5</v>
      </c>
      <c r="AB13" s="129">
        <f t="shared" si="39"/>
        <v>0.61403508771929816</v>
      </c>
      <c r="AC13" s="57">
        <f t="shared" si="15"/>
        <v>32.774999999999999</v>
      </c>
      <c r="AD13" s="68">
        <f t="shared" si="40"/>
        <v>0.53333333333333321</v>
      </c>
      <c r="AE13" s="75"/>
      <c r="AF13" s="58" t="s">
        <v>141</v>
      </c>
      <c r="AG13" s="58">
        <v>22</v>
      </c>
      <c r="AH13" s="46">
        <f t="shared" si="41"/>
        <v>0.62962962962962954</v>
      </c>
      <c r="AI13" s="58" t="s">
        <v>146</v>
      </c>
      <c r="AJ13" s="58">
        <v>31.5</v>
      </c>
      <c r="AK13" s="46">
        <f t="shared" si="42"/>
        <v>0.55555555555555558</v>
      </c>
      <c r="AL13" s="77"/>
      <c r="AM13" s="59">
        <v>15</v>
      </c>
      <c r="AN13" s="132">
        <f>SUM(AM13*1.4)</f>
        <v>21</v>
      </c>
      <c r="AO13" s="133">
        <f t="shared" si="31"/>
        <v>0.39999999999999991</v>
      </c>
      <c r="AP13" s="59">
        <f t="shared" si="19"/>
        <v>19.95</v>
      </c>
      <c r="AQ13" s="69">
        <f t="shared" si="20"/>
        <v>0.32999999999999985</v>
      </c>
      <c r="AR13" s="59">
        <f t="shared" si="32"/>
        <v>21</v>
      </c>
      <c r="AS13" s="132">
        <f>SUM(AR13*1.4)</f>
        <v>29.4</v>
      </c>
      <c r="AT13" s="135">
        <f t="shared" si="34"/>
        <v>0.39999999999999991</v>
      </c>
      <c r="AU13" s="59">
        <f t="shared" si="21"/>
        <v>27.93</v>
      </c>
      <c r="AV13" s="69">
        <f t="shared" si="22"/>
        <v>0.33000000000000007</v>
      </c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</row>
    <row r="14" spans="1:59" s="41" customFormat="1" x14ac:dyDescent="0.25">
      <c r="A14" s="149"/>
      <c r="B14" s="79" t="s">
        <v>121</v>
      </c>
      <c r="C14" s="44">
        <v>15</v>
      </c>
      <c r="D14" s="44">
        <v>23.5</v>
      </c>
      <c r="E14" s="52">
        <f t="shared" si="26"/>
        <v>0.56666666666666665</v>
      </c>
      <c r="F14" s="44">
        <v>22.5</v>
      </c>
      <c r="G14" s="44">
        <v>31.73</v>
      </c>
      <c r="H14" s="52">
        <f t="shared" si="27"/>
        <v>0.41022222222222227</v>
      </c>
      <c r="I14" s="75"/>
      <c r="J14" s="60" t="s">
        <v>105</v>
      </c>
      <c r="K14" s="110">
        <v>21.5</v>
      </c>
      <c r="L14" s="111">
        <f>(K14+K14)/(15+17)-1</f>
        <v>0.34375</v>
      </c>
      <c r="M14" s="60">
        <f t="shared" ref="M14" si="43">K14-(K14*0.02)</f>
        <v>21.07</v>
      </c>
      <c r="N14" s="66">
        <f>(M14+M14)/(17+15)-1</f>
        <v>0.31687500000000002</v>
      </c>
      <c r="O14" s="60">
        <v>24</v>
      </c>
      <c r="P14" s="110">
        <v>32</v>
      </c>
      <c r="Q14" s="111">
        <f t="shared" si="29"/>
        <v>0.33333333333333326</v>
      </c>
      <c r="R14" s="60">
        <f t="shared" si="9"/>
        <v>31.36</v>
      </c>
      <c r="S14" s="66">
        <f t="shared" si="10"/>
        <v>0.30666666666666664</v>
      </c>
      <c r="T14" s="75"/>
      <c r="U14" s="57" t="s">
        <v>113</v>
      </c>
      <c r="V14" s="123">
        <v>23</v>
      </c>
      <c r="W14" s="124">
        <f t="shared" si="37"/>
        <v>0.64285714285714279</v>
      </c>
      <c r="X14" s="57">
        <f t="shared" si="12"/>
        <v>21.85</v>
      </c>
      <c r="Y14" s="68">
        <f t="shared" si="38"/>
        <v>0.56071428571428572</v>
      </c>
      <c r="Z14" s="127" t="s">
        <v>114</v>
      </c>
      <c r="AA14" s="123">
        <v>34.5</v>
      </c>
      <c r="AB14" s="129">
        <f t="shared" si="39"/>
        <v>0.61403508771929816</v>
      </c>
      <c r="AC14" s="57">
        <f t="shared" si="15"/>
        <v>32.774999999999999</v>
      </c>
      <c r="AD14" s="68">
        <f t="shared" si="40"/>
        <v>0.53333333333333321</v>
      </c>
      <c r="AE14" s="75"/>
      <c r="AF14" s="58" t="s">
        <v>141</v>
      </c>
      <c r="AG14" s="58">
        <v>22</v>
      </c>
      <c r="AH14" s="46">
        <f t="shared" si="41"/>
        <v>0.62962962962962954</v>
      </c>
      <c r="AI14" s="58" t="s">
        <v>146</v>
      </c>
      <c r="AJ14" s="58">
        <v>31.5</v>
      </c>
      <c r="AK14" s="46">
        <f t="shared" si="42"/>
        <v>0.55555555555555558</v>
      </c>
      <c r="AL14" s="77"/>
      <c r="AM14" s="59">
        <v>16</v>
      </c>
      <c r="AN14" s="132">
        <f t="shared" si="30"/>
        <v>22.4</v>
      </c>
      <c r="AO14" s="133">
        <f t="shared" si="31"/>
        <v>0.39999999999999991</v>
      </c>
      <c r="AP14" s="59">
        <f t="shared" si="19"/>
        <v>21.279999999999998</v>
      </c>
      <c r="AQ14" s="69">
        <f t="shared" si="20"/>
        <v>0.32999999999999985</v>
      </c>
      <c r="AR14" s="59">
        <f t="shared" si="32"/>
        <v>22.4</v>
      </c>
      <c r="AS14" s="132">
        <f t="shared" si="33"/>
        <v>31.359999999999996</v>
      </c>
      <c r="AT14" s="135">
        <f t="shared" si="34"/>
        <v>0.39999999999999991</v>
      </c>
      <c r="AU14" s="59">
        <f t="shared" si="21"/>
        <v>29.791999999999994</v>
      </c>
      <c r="AV14" s="69">
        <f t="shared" si="22"/>
        <v>0.32999999999999985</v>
      </c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</row>
    <row r="15" spans="1:59" s="41" customFormat="1" x14ac:dyDescent="0.25">
      <c r="A15" s="149"/>
      <c r="B15" s="79" t="s">
        <v>122</v>
      </c>
      <c r="C15" s="44">
        <v>15</v>
      </c>
      <c r="D15" s="44">
        <v>23.5</v>
      </c>
      <c r="E15" s="52">
        <f t="shared" si="26"/>
        <v>0.56666666666666665</v>
      </c>
      <c r="F15" s="44">
        <v>22.5</v>
      </c>
      <c r="G15" s="44">
        <v>31.73</v>
      </c>
      <c r="H15" s="52">
        <f t="shared" si="27"/>
        <v>0.41022222222222227</v>
      </c>
      <c r="I15" s="75"/>
      <c r="J15" s="60" t="s">
        <v>105</v>
      </c>
      <c r="K15" s="110">
        <v>21.5</v>
      </c>
      <c r="L15" s="111">
        <f>(K15+K15)/(15+17)-1</f>
        <v>0.34375</v>
      </c>
      <c r="M15" s="60">
        <f t="shared" ref="M15:M16" si="44">K15-(K15*0.02)</f>
        <v>21.07</v>
      </c>
      <c r="N15" s="66">
        <f t="shared" ref="N15:N16" si="45">(M15+M15)/(17+15)-1</f>
        <v>0.31687500000000002</v>
      </c>
      <c r="O15" s="60">
        <v>24</v>
      </c>
      <c r="P15" s="110">
        <v>32</v>
      </c>
      <c r="Q15" s="111">
        <f t="shared" si="29"/>
        <v>0.33333333333333326</v>
      </c>
      <c r="R15" s="60">
        <f t="shared" si="9"/>
        <v>31.36</v>
      </c>
      <c r="S15" s="66">
        <f t="shared" si="10"/>
        <v>0.30666666666666664</v>
      </c>
      <c r="T15" s="75"/>
      <c r="U15" s="57" t="s">
        <v>113</v>
      </c>
      <c r="V15" s="123">
        <v>23</v>
      </c>
      <c r="W15" s="124">
        <f t="shared" si="37"/>
        <v>0.64285714285714279</v>
      </c>
      <c r="X15" s="57">
        <f t="shared" si="12"/>
        <v>21.85</v>
      </c>
      <c r="Y15" s="68">
        <f t="shared" si="38"/>
        <v>0.56071428571428572</v>
      </c>
      <c r="Z15" s="127" t="s">
        <v>114</v>
      </c>
      <c r="AA15" s="123">
        <v>34.5</v>
      </c>
      <c r="AB15" s="129">
        <f t="shared" si="39"/>
        <v>0.61403508771929816</v>
      </c>
      <c r="AC15" s="57">
        <f t="shared" si="15"/>
        <v>32.774999999999999</v>
      </c>
      <c r="AD15" s="68">
        <f t="shared" si="40"/>
        <v>0.53333333333333321</v>
      </c>
      <c r="AE15" s="75"/>
      <c r="AF15" s="58" t="s">
        <v>141</v>
      </c>
      <c r="AG15" s="58">
        <v>22</v>
      </c>
      <c r="AH15" s="46">
        <f t="shared" si="41"/>
        <v>0.62962962962962954</v>
      </c>
      <c r="AI15" s="58" t="s">
        <v>146</v>
      </c>
      <c r="AJ15" s="58">
        <v>31.5</v>
      </c>
      <c r="AK15" s="46">
        <f t="shared" si="42"/>
        <v>0.55555555555555558</v>
      </c>
      <c r="AL15" s="77"/>
      <c r="AM15" s="59">
        <v>16</v>
      </c>
      <c r="AN15" s="132">
        <f t="shared" si="30"/>
        <v>22.4</v>
      </c>
      <c r="AO15" s="133">
        <f t="shared" si="31"/>
        <v>0.39999999999999991</v>
      </c>
      <c r="AP15" s="59">
        <f t="shared" si="19"/>
        <v>21.279999999999998</v>
      </c>
      <c r="AQ15" s="69">
        <f t="shared" si="20"/>
        <v>0.32999999999999985</v>
      </c>
      <c r="AR15" s="59">
        <f t="shared" si="32"/>
        <v>22.4</v>
      </c>
      <c r="AS15" s="132">
        <f t="shared" si="33"/>
        <v>31.359999999999996</v>
      </c>
      <c r="AT15" s="135">
        <f t="shared" si="34"/>
        <v>0.39999999999999991</v>
      </c>
      <c r="AU15" s="59">
        <f t="shared" si="21"/>
        <v>29.791999999999994</v>
      </c>
      <c r="AV15" s="69">
        <f t="shared" si="22"/>
        <v>0.32999999999999985</v>
      </c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</row>
    <row r="16" spans="1:59" s="41" customFormat="1" x14ac:dyDescent="0.25">
      <c r="A16" s="150"/>
      <c r="B16" s="79" t="s">
        <v>176</v>
      </c>
      <c r="C16" s="44">
        <v>15</v>
      </c>
      <c r="D16" s="44">
        <v>23.5</v>
      </c>
      <c r="E16" s="52">
        <f t="shared" si="26"/>
        <v>0.56666666666666665</v>
      </c>
      <c r="F16" s="44">
        <v>22.5</v>
      </c>
      <c r="G16" s="44">
        <v>31.73</v>
      </c>
      <c r="H16" s="52">
        <f t="shared" si="27"/>
        <v>0.41022222222222227</v>
      </c>
      <c r="I16" s="75"/>
      <c r="J16" s="60" t="s">
        <v>105</v>
      </c>
      <c r="K16" s="110">
        <v>21.5</v>
      </c>
      <c r="L16" s="111">
        <f>(K16+K16)/(15+17)-1</f>
        <v>0.34375</v>
      </c>
      <c r="M16" s="60">
        <f t="shared" si="44"/>
        <v>21.07</v>
      </c>
      <c r="N16" s="66">
        <f t="shared" si="45"/>
        <v>0.31687500000000002</v>
      </c>
      <c r="O16" s="60">
        <v>24</v>
      </c>
      <c r="P16" s="110">
        <v>32</v>
      </c>
      <c r="Q16" s="111">
        <f t="shared" si="29"/>
        <v>0.33333333333333326</v>
      </c>
      <c r="R16" s="60">
        <f t="shared" si="9"/>
        <v>31.36</v>
      </c>
      <c r="S16" s="66">
        <f t="shared" si="10"/>
        <v>0.30666666666666664</v>
      </c>
      <c r="T16" s="75"/>
      <c r="U16" s="57" t="s">
        <v>113</v>
      </c>
      <c r="V16" s="123">
        <v>23</v>
      </c>
      <c r="W16" s="124">
        <f t="shared" si="37"/>
        <v>0.64285714285714279</v>
      </c>
      <c r="X16" s="57">
        <f t="shared" si="12"/>
        <v>21.85</v>
      </c>
      <c r="Y16" s="68">
        <f t="shared" si="38"/>
        <v>0.56071428571428572</v>
      </c>
      <c r="Z16" s="127" t="s">
        <v>114</v>
      </c>
      <c r="AA16" s="123">
        <v>34.5</v>
      </c>
      <c r="AB16" s="129">
        <f t="shared" si="39"/>
        <v>0.61403508771929816</v>
      </c>
      <c r="AC16" s="57">
        <f t="shared" si="15"/>
        <v>32.774999999999999</v>
      </c>
      <c r="AD16" s="68">
        <f t="shared" si="40"/>
        <v>0.53333333333333321</v>
      </c>
      <c r="AE16" s="75"/>
      <c r="AF16" s="58" t="s">
        <v>141</v>
      </c>
      <c r="AG16" s="58">
        <v>22</v>
      </c>
      <c r="AH16" s="46">
        <f t="shared" si="41"/>
        <v>0.62962962962962954</v>
      </c>
      <c r="AI16" s="58" t="s">
        <v>146</v>
      </c>
      <c r="AJ16" s="58">
        <v>31.5</v>
      </c>
      <c r="AK16" s="46">
        <f t="shared" si="42"/>
        <v>0.55555555555555558</v>
      </c>
      <c r="AL16" s="77"/>
      <c r="AM16" s="59">
        <v>16</v>
      </c>
      <c r="AN16" s="132">
        <f t="shared" si="30"/>
        <v>22.4</v>
      </c>
      <c r="AO16" s="133">
        <f t="shared" si="31"/>
        <v>0.39999999999999991</v>
      </c>
      <c r="AP16" s="59">
        <f t="shared" si="19"/>
        <v>21.279999999999998</v>
      </c>
      <c r="AQ16" s="69">
        <f>AP16/AM16-1</f>
        <v>0.32999999999999985</v>
      </c>
      <c r="AR16" s="59">
        <f t="shared" si="32"/>
        <v>22.4</v>
      </c>
      <c r="AS16" s="132">
        <f t="shared" si="33"/>
        <v>31.359999999999996</v>
      </c>
      <c r="AT16" s="135">
        <f t="shared" si="34"/>
        <v>0.39999999999999991</v>
      </c>
      <c r="AU16" s="59">
        <f t="shared" si="21"/>
        <v>29.791999999999994</v>
      </c>
      <c r="AV16" s="69">
        <f t="shared" si="22"/>
        <v>0.32999999999999985</v>
      </c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</row>
    <row r="17" spans="1:59" s="78" customFormat="1" ht="8.4499999999999993" customHeight="1" x14ac:dyDescent="0.25">
      <c r="A17" s="72"/>
      <c r="B17" s="73"/>
      <c r="C17" s="74"/>
      <c r="D17" s="74"/>
      <c r="E17" s="75"/>
      <c r="F17" s="74"/>
      <c r="G17" s="74"/>
      <c r="H17" s="75"/>
      <c r="I17" s="75"/>
      <c r="J17" s="74"/>
      <c r="K17" s="74"/>
      <c r="L17" s="75"/>
      <c r="M17" s="74"/>
      <c r="N17" s="75"/>
      <c r="O17" s="74"/>
      <c r="P17" s="120"/>
      <c r="Q17" s="75"/>
      <c r="R17" s="74"/>
      <c r="S17" s="75"/>
      <c r="T17" s="75"/>
      <c r="U17" s="76"/>
      <c r="V17" s="76"/>
      <c r="W17" s="77"/>
      <c r="X17" s="76"/>
      <c r="Y17" s="77"/>
      <c r="Z17" s="76"/>
      <c r="AA17" s="76"/>
      <c r="AB17" s="75"/>
      <c r="AC17" s="75"/>
      <c r="AD17" s="75"/>
      <c r="AE17" s="75"/>
      <c r="AF17" s="76"/>
      <c r="AG17" s="76"/>
      <c r="AH17" s="77"/>
      <c r="AI17" s="76"/>
      <c r="AJ17" s="76"/>
      <c r="AK17" s="77"/>
      <c r="AL17" s="77"/>
      <c r="AM17" s="76"/>
      <c r="AN17" s="76"/>
      <c r="AO17" s="77"/>
      <c r="AP17" s="76"/>
      <c r="AQ17" s="77"/>
      <c r="AR17" s="76"/>
      <c r="AS17" s="76"/>
      <c r="AT17" s="75"/>
      <c r="AU17" s="75"/>
      <c r="AV17" s="75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</row>
    <row r="18" spans="1:59" s="41" customFormat="1" x14ac:dyDescent="0.25">
      <c r="A18" s="80" t="s">
        <v>74</v>
      </c>
      <c r="B18" s="87" t="s">
        <v>90</v>
      </c>
      <c r="C18" s="100" t="s">
        <v>190</v>
      </c>
      <c r="D18" s="98" t="s">
        <v>132</v>
      </c>
      <c r="E18" s="99">
        <f>(62+65)/(38+40)-1</f>
        <v>0.62820512820512819</v>
      </c>
      <c r="F18" s="100" t="s">
        <v>159</v>
      </c>
      <c r="G18" s="100" t="s">
        <v>159</v>
      </c>
      <c r="H18" s="100" t="s">
        <v>159</v>
      </c>
      <c r="I18" s="90"/>
      <c r="J18" s="63" t="s">
        <v>162</v>
      </c>
      <c r="K18" s="113" t="s">
        <v>164</v>
      </c>
      <c r="L18" s="136">
        <f>(52+55)/(32+34)-1</f>
        <v>0.6212121212121211</v>
      </c>
      <c r="M18" s="60" t="s">
        <v>181</v>
      </c>
      <c r="N18" s="67">
        <f>(50.96+53.09)/(32+34)-1</f>
        <v>0.57651515151515165</v>
      </c>
      <c r="O18" s="63" t="s">
        <v>159</v>
      </c>
      <c r="P18" s="121" t="s">
        <v>159</v>
      </c>
      <c r="Q18" s="67" t="s">
        <v>159</v>
      </c>
      <c r="R18" s="67" t="s">
        <v>159</v>
      </c>
      <c r="S18" s="67" t="s">
        <v>159</v>
      </c>
      <c r="T18" s="90"/>
      <c r="U18" s="151" t="s">
        <v>91</v>
      </c>
      <c r="V18" s="152"/>
      <c r="W18" s="152"/>
      <c r="X18" s="152"/>
      <c r="Y18" s="152"/>
      <c r="Z18" s="152"/>
      <c r="AA18" s="152"/>
      <c r="AB18" s="152"/>
      <c r="AC18" s="152"/>
      <c r="AD18" s="153"/>
      <c r="AE18" s="95"/>
      <c r="AF18" s="104">
        <v>35.5</v>
      </c>
      <c r="AG18" s="104">
        <v>65</v>
      </c>
      <c r="AH18" s="103">
        <f>AG18/AF18-1</f>
        <v>0.83098591549295775</v>
      </c>
      <c r="AI18" s="104" t="s">
        <v>159</v>
      </c>
      <c r="AJ18" s="40" t="s">
        <v>159</v>
      </c>
      <c r="AK18" s="103" t="s">
        <v>159</v>
      </c>
      <c r="AL18" s="95"/>
      <c r="AM18" s="154" t="s">
        <v>91</v>
      </c>
      <c r="AN18" s="155"/>
      <c r="AO18" s="155"/>
      <c r="AP18" s="155"/>
      <c r="AQ18" s="155"/>
      <c r="AR18" s="155"/>
      <c r="AS18" s="155"/>
      <c r="AT18" s="155"/>
      <c r="AU18" s="155"/>
      <c r="AV18" s="155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</row>
    <row r="19" spans="1:59" s="78" customFormat="1" ht="8.4499999999999993" customHeight="1" x14ac:dyDescent="0.25">
      <c r="A19" s="93"/>
      <c r="B19" s="73"/>
      <c r="C19" s="76"/>
      <c r="D19" s="76"/>
      <c r="E19" s="77"/>
      <c r="F19" s="76"/>
      <c r="G19" s="76"/>
      <c r="H19" s="75"/>
      <c r="I19" s="75"/>
      <c r="J19" s="76"/>
      <c r="K19" s="114"/>
      <c r="L19" s="130"/>
      <c r="M19" s="74"/>
      <c r="N19" s="75"/>
      <c r="O19" s="76"/>
      <c r="P19" s="119"/>
      <c r="Q19" s="75"/>
      <c r="R19" s="74"/>
      <c r="S19" s="75"/>
      <c r="T19" s="75"/>
      <c r="U19" s="76"/>
      <c r="V19" s="76"/>
      <c r="W19" s="77"/>
      <c r="X19" s="76"/>
      <c r="Y19" s="77"/>
      <c r="Z19" s="76"/>
      <c r="AA19" s="76"/>
      <c r="AB19" s="75"/>
      <c r="AC19" s="75"/>
      <c r="AD19" s="75"/>
      <c r="AE19" s="75"/>
      <c r="AF19" s="76"/>
      <c r="AG19" s="76"/>
      <c r="AH19" s="76"/>
      <c r="AI19" s="76"/>
      <c r="AJ19" s="76"/>
      <c r="AK19" s="77"/>
      <c r="AL19" s="77"/>
      <c r="AM19" s="76"/>
      <c r="AN19" s="76"/>
      <c r="AO19" s="77"/>
      <c r="AP19" s="76"/>
      <c r="AQ19" s="77"/>
      <c r="AR19" s="76"/>
      <c r="AS19" s="76"/>
      <c r="AT19" s="75"/>
      <c r="AU19" s="75"/>
      <c r="AV19" s="75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</row>
    <row r="20" spans="1:59" s="41" customFormat="1" x14ac:dyDescent="0.25">
      <c r="A20" s="80" t="s">
        <v>67</v>
      </c>
      <c r="B20" s="87" t="s">
        <v>90</v>
      </c>
      <c r="C20" s="100" t="s">
        <v>191</v>
      </c>
      <c r="D20" s="98" t="s">
        <v>131</v>
      </c>
      <c r="E20" s="99">
        <f>(30+35)/(18.75+21)-1</f>
        <v>0.6352201257861636</v>
      </c>
      <c r="F20" s="100" t="s">
        <v>159</v>
      </c>
      <c r="G20" s="100" t="s">
        <v>159</v>
      </c>
      <c r="H20" s="100" t="s">
        <v>159</v>
      </c>
      <c r="I20" s="90"/>
      <c r="J20" s="63">
        <v>16</v>
      </c>
      <c r="K20" s="113" t="s">
        <v>165</v>
      </c>
      <c r="L20" s="136">
        <f>(23+27)/(16+16)-1</f>
        <v>0.5625</v>
      </c>
      <c r="M20" s="63" t="s">
        <v>182</v>
      </c>
      <c r="N20" s="67">
        <f>(22.54+26.46)/(16+16)-1</f>
        <v>0.53125</v>
      </c>
      <c r="O20" s="63" t="s">
        <v>159</v>
      </c>
      <c r="P20" s="121" t="s">
        <v>159</v>
      </c>
      <c r="Q20" s="67" t="s">
        <v>159</v>
      </c>
      <c r="R20" s="67" t="s">
        <v>159</v>
      </c>
      <c r="S20" s="67" t="s">
        <v>159</v>
      </c>
      <c r="T20" s="90"/>
      <c r="U20" s="151" t="s">
        <v>91</v>
      </c>
      <c r="V20" s="152"/>
      <c r="W20" s="152"/>
      <c r="X20" s="152"/>
      <c r="Y20" s="152"/>
      <c r="Z20" s="152"/>
      <c r="AA20" s="152"/>
      <c r="AB20" s="152"/>
      <c r="AC20" s="152"/>
      <c r="AD20" s="153"/>
      <c r="AE20" s="95"/>
      <c r="AF20" s="104">
        <v>14</v>
      </c>
      <c r="AG20" s="104">
        <v>25</v>
      </c>
      <c r="AH20" s="103">
        <f t="shared" ref="AH20" si="46">AG20/AF20-1</f>
        <v>0.78571428571428581</v>
      </c>
      <c r="AI20" s="104" t="s">
        <v>159</v>
      </c>
      <c r="AJ20" s="40" t="s">
        <v>159</v>
      </c>
      <c r="AK20" s="103" t="s">
        <v>159</v>
      </c>
      <c r="AL20" s="95"/>
      <c r="AM20" s="47" t="s">
        <v>189</v>
      </c>
      <c r="AN20" s="134" t="s">
        <v>161</v>
      </c>
      <c r="AO20" s="137">
        <f>(21+31.9)/(14+21)-1</f>
        <v>0.51142857142857134</v>
      </c>
      <c r="AP20" s="47" t="s">
        <v>188</v>
      </c>
      <c r="AQ20" s="70">
        <f>(19.95+30.31)/(14+21)-1</f>
        <v>0.43599999999999994</v>
      </c>
      <c r="AR20" s="47" t="s">
        <v>159</v>
      </c>
      <c r="AS20" s="47" t="s">
        <v>159</v>
      </c>
      <c r="AT20" s="70" t="s">
        <v>159</v>
      </c>
      <c r="AU20" s="70" t="s">
        <v>159</v>
      </c>
      <c r="AV20" s="70" t="s">
        <v>159</v>
      </c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</row>
    <row r="21" spans="1:59" s="78" customFormat="1" ht="8.4499999999999993" customHeight="1" thickBot="1" x14ac:dyDescent="0.3">
      <c r="A21" s="93"/>
      <c r="B21" s="73"/>
      <c r="C21" s="76"/>
      <c r="D21" s="76"/>
      <c r="E21" s="77"/>
      <c r="F21" s="76"/>
      <c r="G21" s="76"/>
      <c r="H21" s="75"/>
      <c r="I21" s="75"/>
      <c r="J21" s="76"/>
      <c r="K21" s="114"/>
      <c r="L21" s="130"/>
      <c r="M21" s="74"/>
      <c r="N21" s="75"/>
      <c r="O21" s="76"/>
      <c r="P21" s="119"/>
      <c r="Q21" s="75"/>
      <c r="R21" s="74"/>
      <c r="S21" s="75"/>
      <c r="T21" s="75"/>
      <c r="U21" s="76"/>
      <c r="V21" s="76"/>
      <c r="W21" s="77"/>
      <c r="X21" s="76"/>
      <c r="Y21" s="77"/>
      <c r="Z21" s="76"/>
      <c r="AA21" s="76"/>
      <c r="AB21" s="75"/>
      <c r="AC21" s="75"/>
      <c r="AD21" s="75"/>
      <c r="AE21" s="75"/>
      <c r="AF21" s="76"/>
      <c r="AG21" s="76"/>
      <c r="AH21" s="77"/>
      <c r="AI21" s="76"/>
      <c r="AJ21" s="76"/>
      <c r="AK21" s="77"/>
      <c r="AL21" s="77"/>
      <c r="AM21" s="76"/>
      <c r="AN21" s="76"/>
      <c r="AO21" s="77"/>
      <c r="AP21" s="76"/>
      <c r="AQ21" s="77"/>
      <c r="AR21" s="76"/>
      <c r="AS21" s="76"/>
      <c r="AT21" s="75"/>
      <c r="AU21" s="75"/>
      <c r="AV21" s="75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</row>
    <row r="22" spans="1:59" s="48" customFormat="1" ht="15.75" thickBot="1" x14ac:dyDescent="0.3">
      <c r="A22" s="80" t="s">
        <v>82</v>
      </c>
      <c r="B22" s="87" t="s">
        <v>90</v>
      </c>
      <c r="C22" s="145" t="s">
        <v>91</v>
      </c>
      <c r="D22" s="146"/>
      <c r="E22" s="146"/>
      <c r="F22" s="146"/>
      <c r="G22" s="146"/>
      <c r="H22" s="147"/>
      <c r="I22" s="91"/>
      <c r="J22" s="63">
        <v>34</v>
      </c>
      <c r="K22" s="116" t="s">
        <v>86</v>
      </c>
      <c r="L22" s="136">
        <f>53/34-1</f>
        <v>0.55882352941176472</v>
      </c>
      <c r="M22" s="60">
        <f>53-(53*0.02)</f>
        <v>51.94</v>
      </c>
      <c r="N22" s="67">
        <f>M22/J22-1</f>
        <v>0.52764705882352936</v>
      </c>
      <c r="O22" s="63">
        <v>51</v>
      </c>
      <c r="P22" s="122" t="s">
        <v>87</v>
      </c>
      <c r="Q22" s="136">
        <f>79.5/51-1</f>
        <v>0.55882352941176472</v>
      </c>
      <c r="R22" s="60">
        <f>79.5-(79.5*0.02)</f>
        <v>77.91</v>
      </c>
      <c r="S22" s="67">
        <f>R22/O22-1</f>
        <v>0.52764705882352936</v>
      </c>
      <c r="T22" s="90"/>
      <c r="U22" s="151" t="s">
        <v>91</v>
      </c>
      <c r="V22" s="152"/>
      <c r="W22" s="152"/>
      <c r="X22" s="152"/>
      <c r="Y22" s="152"/>
      <c r="Z22" s="152"/>
      <c r="AA22" s="152"/>
      <c r="AB22" s="152"/>
      <c r="AC22" s="152"/>
      <c r="AD22" s="153"/>
      <c r="AE22" s="95"/>
      <c r="AF22" s="62" t="s">
        <v>167</v>
      </c>
      <c r="AG22" s="104">
        <v>53</v>
      </c>
      <c r="AH22" s="103">
        <f>(AG22+AG22)/(30+33)-1</f>
        <v>0.68253968253968256</v>
      </c>
      <c r="AI22" s="107" t="s">
        <v>168</v>
      </c>
      <c r="AJ22" s="40">
        <v>53</v>
      </c>
      <c r="AK22" s="103">
        <f>(AJ22+AJ22)/(30+33)-1</f>
        <v>0.68253968253968256</v>
      </c>
      <c r="AL22" s="95"/>
      <c r="AM22" s="154" t="s">
        <v>91</v>
      </c>
      <c r="AN22" s="155"/>
      <c r="AO22" s="155"/>
      <c r="AP22" s="155"/>
      <c r="AQ22" s="155"/>
      <c r="AR22" s="155"/>
      <c r="AS22" s="155"/>
      <c r="AT22" s="155"/>
      <c r="AU22" s="155"/>
      <c r="AV22" s="155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</row>
    <row r="23" spans="1:59" s="49" customFormat="1" x14ac:dyDescent="0.25">
      <c r="A23" s="80" t="s">
        <v>83</v>
      </c>
      <c r="B23" s="87" t="s">
        <v>90</v>
      </c>
      <c r="C23" s="145" t="s">
        <v>91</v>
      </c>
      <c r="D23" s="146"/>
      <c r="E23" s="146"/>
      <c r="F23" s="146"/>
      <c r="G23" s="146"/>
      <c r="H23" s="147"/>
      <c r="I23" s="91"/>
      <c r="J23" s="63">
        <v>37</v>
      </c>
      <c r="K23" s="116" t="s">
        <v>88</v>
      </c>
      <c r="L23" s="136">
        <f t="shared" ref="L23:L25" si="47">53/34-1</f>
        <v>0.55882352941176472</v>
      </c>
      <c r="M23" s="60">
        <f>58-(58*0.02)</f>
        <v>56.84</v>
      </c>
      <c r="N23" s="67">
        <f t="shared" ref="N23:N25" si="48">M23/J23-1</f>
        <v>0.53621621621621629</v>
      </c>
      <c r="O23" s="63">
        <v>55.5</v>
      </c>
      <c r="P23" s="122">
        <v>87</v>
      </c>
      <c r="Q23" s="136">
        <f t="shared" ref="Q23:Q25" si="49">79.5/51-1</f>
        <v>0.55882352941176472</v>
      </c>
      <c r="R23" s="63">
        <f>P23-(P23*0.02)</f>
        <v>85.26</v>
      </c>
      <c r="S23" s="67">
        <f t="shared" ref="S23:S25" si="50">R23/O23-1</f>
        <v>0.53621621621621629</v>
      </c>
      <c r="T23" s="90"/>
      <c r="U23" s="151" t="s">
        <v>91</v>
      </c>
      <c r="V23" s="152"/>
      <c r="W23" s="152"/>
      <c r="X23" s="152"/>
      <c r="Y23" s="152"/>
      <c r="Z23" s="152"/>
      <c r="AA23" s="152"/>
      <c r="AB23" s="152"/>
      <c r="AC23" s="152"/>
      <c r="AD23" s="153"/>
      <c r="AE23" s="95"/>
      <c r="AF23" s="107" t="s">
        <v>169</v>
      </c>
      <c r="AG23" s="61">
        <v>75</v>
      </c>
      <c r="AH23" s="103">
        <f>(AG23+AG23)/(40+44)-1</f>
        <v>0.78571428571428581</v>
      </c>
      <c r="AI23" s="107" t="s">
        <v>170</v>
      </c>
      <c r="AJ23" s="108">
        <v>112.5</v>
      </c>
      <c r="AK23" s="103">
        <f>(AJ23+AJ23)/(60+66)-1</f>
        <v>0.78571428571428581</v>
      </c>
      <c r="AL23" s="95"/>
      <c r="AM23" s="154" t="s">
        <v>91</v>
      </c>
      <c r="AN23" s="155"/>
      <c r="AO23" s="155"/>
      <c r="AP23" s="155"/>
      <c r="AQ23" s="155"/>
      <c r="AR23" s="155"/>
      <c r="AS23" s="155"/>
      <c r="AT23" s="155"/>
      <c r="AU23" s="155"/>
      <c r="AV23" s="155"/>
    </row>
    <row r="24" spans="1:59" s="49" customFormat="1" x14ac:dyDescent="0.25">
      <c r="A24" s="80" t="s">
        <v>84</v>
      </c>
      <c r="B24" s="87" t="s">
        <v>90</v>
      </c>
      <c r="C24" s="145" t="s">
        <v>91</v>
      </c>
      <c r="D24" s="146"/>
      <c r="E24" s="146"/>
      <c r="F24" s="146"/>
      <c r="G24" s="146"/>
      <c r="H24" s="147"/>
      <c r="I24" s="91"/>
      <c r="J24" s="63">
        <v>47</v>
      </c>
      <c r="K24" s="116" t="s">
        <v>89</v>
      </c>
      <c r="L24" s="136">
        <f t="shared" si="47"/>
        <v>0.55882352941176472</v>
      </c>
      <c r="M24" s="60">
        <f>74-(74*0.02)</f>
        <v>72.52</v>
      </c>
      <c r="N24" s="67">
        <f t="shared" si="48"/>
        <v>0.54297872340425513</v>
      </c>
      <c r="O24" s="63">
        <v>70.5</v>
      </c>
      <c r="P24" s="122">
        <v>111</v>
      </c>
      <c r="Q24" s="136">
        <f t="shared" si="49"/>
        <v>0.55882352941176472</v>
      </c>
      <c r="R24" s="63">
        <f t="shared" ref="R24:R25" si="51">P24-(P24*0.02)</f>
        <v>108.78</v>
      </c>
      <c r="S24" s="67">
        <f t="shared" si="50"/>
        <v>0.54297872340425535</v>
      </c>
      <c r="T24" s="90"/>
      <c r="U24" s="151" t="s">
        <v>91</v>
      </c>
      <c r="V24" s="152"/>
      <c r="W24" s="152"/>
      <c r="X24" s="152"/>
      <c r="Y24" s="152"/>
      <c r="Z24" s="152"/>
      <c r="AA24" s="152"/>
      <c r="AB24" s="152"/>
      <c r="AC24" s="152"/>
      <c r="AD24" s="153"/>
      <c r="AE24" s="95"/>
      <c r="AF24" s="107" t="s">
        <v>171</v>
      </c>
      <c r="AG24" s="61">
        <v>81</v>
      </c>
      <c r="AH24" s="103">
        <f>(AG24+AG24)/(45+48)-1</f>
        <v>0.74193548387096775</v>
      </c>
      <c r="AI24" s="107" t="s">
        <v>172</v>
      </c>
      <c r="AJ24" s="108">
        <v>121.5</v>
      </c>
      <c r="AK24" s="103">
        <f>(AJ24+AJ24)/(67.5+72)-1</f>
        <v>0.74193548387096775</v>
      </c>
      <c r="AL24" s="95"/>
      <c r="AM24" s="154" t="s">
        <v>91</v>
      </c>
      <c r="AN24" s="155"/>
      <c r="AO24" s="155"/>
      <c r="AP24" s="155"/>
      <c r="AQ24" s="155"/>
      <c r="AR24" s="155"/>
      <c r="AS24" s="155"/>
      <c r="AT24" s="155"/>
      <c r="AU24" s="155"/>
      <c r="AV24" s="155"/>
    </row>
    <row r="25" spans="1:59" s="49" customFormat="1" x14ac:dyDescent="0.25">
      <c r="A25" s="80" t="s">
        <v>85</v>
      </c>
      <c r="B25" s="87" t="s">
        <v>90</v>
      </c>
      <c r="C25" s="145" t="s">
        <v>91</v>
      </c>
      <c r="D25" s="146"/>
      <c r="E25" s="146"/>
      <c r="F25" s="146"/>
      <c r="G25" s="146"/>
      <c r="H25" s="147"/>
      <c r="I25" s="91"/>
      <c r="J25" s="63">
        <v>57</v>
      </c>
      <c r="K25" s="116">
        <v>89</v>
      </c>
      <c r="L25" s="136">
        <f t="shared" si="47"/>
        <v>0.55882352941176472</v>
      </c>
      <c r="M25" s="60">
        <f t="shared" ref="M25" si="52">K25-(K25*0.02)</f>
        <v>87.22</v>
      </c>
      <c r="N25" s="67">
        <f t="shared" si="48"/>
        <v>0.53017543859649119</v>
      </c>
      <c r="O25" s="63">
        <v>85.5</v>
      </c>
      <c r="P25" s="122">
        <v>133.5</v>
      </c>
      <c r="Q25" s="136">
        <f t="shared" si="49"/>
        <v>0.55882352941176472</v>
      </c>
      <c r="R25" s="63">
        <f t="shared" si="51"/>
        <v>130.83000000000001</v>
      </c>
      <c r="S25" s="67">
        <f t="shared" si="50"/>
        <v>0.53017543859649141</v>
      </c>
      <c r="T25" s="90"/>
      <c r="U25" s="151" t="s">
        <v>91</v>
      </c>
      <c r="V25" s="152"/>
      <c r="W25" s="152"/>
      <c r="X25" s="152"/>
      <c r="Y25" s="152"/>
      <c r="Z25" s="152"/>
      <c r="AA25" s="152"/>
      <c r="AB25" s="152"/>
      <c r="AC25" s="152"/>
      <c r="AD25" s="153"/>
      <c r="AE25" s="95"/>
      <c r="AF25" s="107" t="s">
        <v>173</v>
      </c>
      <c r="AG25" s="61">
        <v>87</v>
      </c>
      <c r="AH25" s="103">
        <f>(AG25+AG25)/(49+52)-1</f>
        <v>0.72277227722772275</v>
      </c>
      <c r="AI25" s="107" t="s">
        <v>174</v>
      </c>
      <c r="AJ25" s="108">
        <v>130.5</v>
      </c>
      <c r="AK25" s="103">
        <f>(AJ25+AJ25)/(73.5+78)-1</f>
        <v>0.72277227722772275</v>
      </c>
      <c r="AL25" s="95"/>
      <c r="AM25" s="154" t="s">
        <v>91</v>
      </c>
      <c r="AN25" s="155"/>
      <c r="AO25" s="155"/>
      <c r="AP25" s="155"/>
      <c r="AQ25" s="155"/>
      <c r="AR25" s="155"/>
      <c r="AS25" s="155"/>
      <c r="AT25" s="155"/>
      <c r="AU25" s="155"/>
      <c r="AV25" s="155"/>
    </row>
    <row r="26" spans="1:59" s="78" customFormat="1" ht="8.4499999999999993" customHeight="1" x14ac:dyDescent="0.25">
      <c r="A26" s="93"/>
      <c r="B26" s="73"/>
      <c r="C26" s="76"/>
      <c r="D26" s="76"/>
      <c r="E26" s="77"/>
      <c r="F26" s="76"/>
      <c r="G26" s="76"/>
      <c r="H26" s="75"/>
      <c r="I26" s="75"/>
      <c r="J26" s="76"/>
      <c r="K26" s="114"/>
      <c r="L26" s="130"/>
      <c r="M26" s="74"/>
      <c r="N26" s="75"/>
      <c r="O26" s="76"/>
      <c r="P26" s="119"/>
      <c r="Q26" s="75"/>
      <c r="R26" s="74"/>
      <c r="S26" s="75"/>
      <c r="T26" s="75"/>
      <c r="U26" s="76"/>
      <c r="V26" s="76"/>
      <c r="W26" s="77"/>
      <c r="X26" s="76"/>
      <c r="Y26" s="77"/>
      <c r="Z26" s="76"/>
      <c r="AA26" s="76"/>
      <c r="AB26" s="75"/>
      <c r="AC26" s="75"/>
      <c r="AD26" s="75"/>
      <c r="AE26" s="75"/>
      <c r="AF26" s="105"/>
      <c r="AG26" s="105"/>
      <c r="AH26" s="106"/>
      <c r="AI26" s="105"/>
      <c r="AJ26" s="105"/>
      <c r="AK26" s="106"/>
      <c r="AL26" s="77"/>
      <c r="AM26" s="76"/>
      <c r="AN26" s="76"/>
      <c r="AO26" s="77"/>
      <c r="AP26" s="76"/>
      <c r="AQ26" s="77"/>
      <c r="AR26" s="76"/>
      <c r="AS26" s="76"/>
      <c r="AT26" s="75"/>
      <c r="AU26" s="75"/>
      <c r="AV26" s="75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</row>
    <row r="27" spans="1:59" s="41" customFormat="1" x14ac:dyDescent="0.25">
      <c r="A27" s="82" t="s">
        <v>68</v>
      </c>
      <c r="B27" s="87" t="s">
        <v>90</v>
      </c>
      <c r="C27" s="97"/>
      <c r="D27" s="100" t="s">
        <v>132</v>
      </c>
      <c r="E27" s="99"/>
      <c r="F27" s="100" t="s">
        <v>159</v>
      </c>
      <c r="G27" s="100" t="s">
        <v>159</v>
      </c>
      <c r="H27" s="100" t="s">
        <v>159</v>
      </c>
      <c r="I27" s="90"/>
      <c r="J27" s="63" t="s">
        <v>163</v>
      </c>
      <c r="K27" s="113" t="s">
        <v>166</v>
      </c>
      <c r="L27" s="136">
        <f>(58+65)/(36+40)-1</f>
        <v>0.61842105263157898</v>
      </c>
      <c r="M27" s="63" t="s">
        <v>183</v>
      </c>
      <c r="N27" s="67">
        <f>(56.84+63.7)/(36+40)-1</f>
        <v>0.58605263157894738</v>
      </c>
      <c r="O27" s="63" t="s">
        <v>159</v>
      </c>
      <c r="P27" s="121" t="s">
        <v>159</v>
      </c>
      <c r="Q27" s="67" t="s">
        <v>159</v>
      </c>
      <c r="R27" s="67" t="s">
        <v>159</v>
      </c>
      <c r="S27" s="67" t="s">
        <v>159</v>
      </c>
      <c r="T27" s="90"/>
      <c r="U27" s="151" t="s">
        <v>91</v>
      </c>
      <c r="V27" s="152"/>
      <c r="W27" s="152"/>
      <c r="X27" s="152"/>
      <c r="Y27" s="152"/>
      <c r="Z27" s="152"/>
      <c r="AA27" s="152"/>
      <c r="AB27" s="152"/>
      <c r="AC27" s="152"/>
      <c r="AD27" s="153"/>
      <c r="AE27" s="95"/>
      <c r="AF27" s="104">
        <v>41.5</v>
      </c>
      <c r="AG27" s="104">
        <v>74</v>
      </c>
      <c r="AH27" s="103">
        <f t="shared" ref="AH27" si="53">AG27/AF27-1</f>
        <v>0.7831325301204819</v>
      </c>
      <c r="AI27" s="104" t="s">
        <v>159</v>
      </c>
      <c r="AJ27" s="40" t="s">
        <v>159</v>
      </c>
      <c r="AK27" s="103" t="s">
        <v>159</v>
      </c>
      <c r="AL27" s="95"/>
      <c r="AM27" s="154" t="s">
        <v>91</v>
      </c>
      <c r="AN27" s="155"/>
      <c r="AO27" s="155"/>
      <c r="AP27" s="155"/>
      <c r="AQ27" s="155"/>
      <c r="AR27" s="155"/>
      <c r="AS27" s="155"/>
      <c r="AT27" s="155"/>
      <c r="AU27" s="155"/>
      <c r="AV27" s="155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</row>
    <row r="28" spans="1:59" s="78" customFormat="1" ht="8.4499999999999993" customHeight="1" x14ac:dyDescent="0.25">
      <c r="A28" s="93"/>
      <c r="B28" s="73"/>
      <c r="C28" s="76"/>
      <c r="D28" s="76"/>
      <c r="E28" s="77"/>
      <c r="F28" s="76"/>
      <c r="G28" s="76"/>
      <c r="H28" s="75"/>
      <c r="I28" s="75"/>
      <c r="J28" s="76"/>
      <c r="K28" s="114"/>
      <c r="L28" s="130"/>
      <c r="M28" s="74"/>
      <c r="N28" s="75"/>
      <c r="O28" s="76"/>
      <c r="P28" s="119"/>
      <c r="Q28" s="75"/>
      <c r="R28" s="74"/>
      <c r="S28" s="75"/>
      <c r="T28" s="75"/>
      <c r="U28" s="76"/>
      <c r="V28" s="76"/>
      <c r="W28" s="77"/>
      <c r="X28" s="76"/>
      <c r="Y28" s="77"/>
      <c r="Z28" s="76"/>
      <c r="AA28" s="76"/>
      <c r="AB28" s="75"/>
      <c r="AC28" s="75"/>
      <c r="AD28" s="75"/>
      <c r="AE28" s="75"/>
      <c r="AF28" s="76"/>
      <c r="AG28" s="76"/>
      <c r="AH28" s="77"/>
      <c r="AI28" s="76"/>
      <c r="AJ28" s="76"/>
      <c r="AK28" s="77"/>
      <c r="AL28" s="77"/>
      <c r="AM28" s="76"/>
      <c r="AN28" s="76"/>
      <c r="AO28" s="77"/>
      <c r="AP28" s="76"/>
      <c r="AQ28" s="77"/>
      <c r="AR28" s="76"/>
      <c r="AS28" s="76"/>
      <c r="AT28" s="75"/>
      <c r="AU28" s="75"/>
      <c r="AV28" s="75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</row>
    <row r="29" spans="1:59" s="33" customFormat="1" x14ac:dyDescent="0.25">
      <c r="A29" s="80" t="s">
        <v>73</v>
      </c>
      <c r="B29" s="87" t="s">
        <v>90</v>
      </c>
      <c r="C29" s="100">
        <v>60</v>
      </c>
      <c r="D29" s="43">
        <v>95</v>
      </c>
      <c r="E29" s="53">
        <f>D29/C29-1</f>
        <v>0.58333333333333326</v>
      </c>
      <c r="F29" s="100" t="s">
        <v>159</v>
      </c>
      <c r="G29" s="100" t="s">
        <v>159</v>
      </c>
      <c r="H29" s="100" t="s">
        <v>159</v>
      </c>
      <c r="I29" s="90"/>
      <c r="J29" s="63" t="s">
        <v>160</v>
      </c>
      <c r="K29" s="117">
        <v>95</v>
      </c>
      <c r="L29" s="111">
        <f>(K29+K29)/(58+62)-1</f>
        <v>0.58333333333333326</v>
      </c>
      <c r="M29" s="60">
        <f>K29 - (K29*0.02)</f>
        <v>93.1</v>
      </c>
      <c r="N29" s="66">
        <f>(M29+M29)/(58+62)-1</f>
        <v>0.55166666666666653</v>
      </c>
      <c r="O29" s="63" t="s">
        <v>159</v>
      </c>
      <c r="P29" s="121" t="s">
        <v>159</v>
      </c>
      <c r="Q29" s="67" t="s">
        <v>159</v>
      </c>
      <c r="R29" s="67" t="s">
        <v>159</v>
      </c>
      <c r="S29" s="67" t="s">
        <v>159</v>
      </c>
      <c r="T29" s="90"/>
      <c r="U29" s="151" t="s">
        <v>91</v>
      </c>
      <c r="V29" s="152"/>
      <c r="W29" s="152"/>
      <c r="X29" s="152"/>
      <c r="Y29" s="152"/>
      <c r="Z29" s="152"/>
      <c r="AA29" s="152"/>
      <c r="AB29" s="152"/>
      <c r="AC29" s="152"/>
      <c r="AD29" s="153"/>
      <c r="AE29" s="95"/>
      <c r="AF29" s="165" t="s">
        <v>92</v>
      </c>
      <c r="AG29" s="166"/>
      <c r="AH29" s="166"/>
      <c r="AI29" s="166"/>
      <c r="AJ29" s="166"/>
      <c r="AK29" s="167"/>
      <c r="AL29" s="95"/>
      <c r="AM29" s="154" t="s">
        <v>91</v>
      </c>
      <c r="AN29" s="155"/>
      <c r="AO29" s="155"/>
      <c r="AP29" s="155"/>
      <c r="AQ29" s="155"/>
      <c r="AR29" s="155"/>
      <c r="AS29" s="155"/>
      <c r="AT29" s="155"/>
      <c r="AU29" s="155"/>
      <c r="AV29" s="155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</row>
    <row r="30" spans="1:59" s="78" customFormat="1" ht="8.4499999999999993" customHeight="1" x14ac:dyDescent="0.25">
      <c r="A30" s="93"/>
      <c r="B30" s="73"/>
      <c r="C30" s="76"/>
      <c r="D30" s="76"/>
      <c r="E30" s="77"/>
      <c r="F30" s="76"/>
      <c r="G30" s="76"/>
      <c r="H30" s="75"/>
      <c r="I30" s="75"/>
      <c r="J30" s="76"/>
      <c r="K30" s="114"/>
      <c r="L30" s="130"/>
      <c r="M30" s="74"/>
      <c r="N30" s="75"/>
      <c r="O30" s="76"/>
      <c r="P30" s="119"/>
      <c r="Q30" s="75"/>
      <c r="R30" s="74"/>
      <c r="S30" s="75"/>
      <c r="T30" s="75"/>
      <c r="U30" s="76"/>
      <c r="V30" s="76"/>
      <c r="W30" s="77"/>
      <c r="X30" s="76"/>
      <c r="Y30" s="77"/>
      <c r="Z30" s="76"/>
      <c r="AA30" s="76"/>
      <c r="AB30" s="75"/>
      <c r="AC30" s="75"/>
      <c r="AD30" s="75"/>
      <c r="AE30" s="75"/>
      <c r="AF30" s="76"/>
      <c r="AG30" s="76"/>
      <c r="AH30" s="77"/>
      <c r="AI30" s="76"/>
      <c r="AJ30" s="76"/>
      <c r="AK30" s="77"/>
      <c r="AL30" s="77"/>
      <c r="AM30" s="76"/>
      <c r="AN30" s="76"/>
      <c r="AO30" s="77"/>
      <c r="AP30" s="76"/>
      <c r="AQ30" s="77"/>
      <c r="AR30" s="76"/>
      <c r="AS30" s="76"/>
      <c r="AT30" s="75"/>
      <c r="AU30" s="75"/>
      <c r="AV30" s="75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</row>
    <row r="31" spans="1:59" s="41" customFormat="1" x14ac:dyDescent="0.25">
      <c r="A31" s="142" t="s">
        <v>155</v>
      </c>
      <c r="B31" s="79" t="s">
        <v>119</v>
      </c>
      <c r="C31" s="44">
        <v>26</v>
      </c>
      <c r="D31" s="44">
        <v>40.5</v>
      </c>
      <c r="E31" s="52">
        <f t="shared" ref="E31:E36" si="54">(D31/C31)-1</f>
        <v>0.55769230769230771</v>
      </c>
      <c r="F31" s="44">
        <v>39</v>
      </c>
      <c r="G31" s="44">
        <v>54.68</v>
      </c>
      <c r="H31" s="52">
        <f t="shared" ref="H31:H36" si="55">G31/F31-1</f>
        <v>0.40205128205128204</v>
      </c>
      <c r="I31" s="75"/>
      <c r="J31" s="60" t="s">
        <v>99</v>
      </c>
      <c r="K31" s="118">
        <v>37</v>
      </c>
      <c r="L31" s="111">
        <f>(K31+K31)/(25+28)-1</f>
        <v>0.39622641509433953</v>
      </c>
      <c r="M31" s="60">
        <f>K31 - (K31*0.02)</f>
        <v>36.26</v>
      </c>
      <c r="N31" s="66">
        <f>(M31+M31)/(25+28)-1</f>
        <v>0.36830188679245279</v>
      </c>
      <c r="O31" s="60">
        <v>42</v>
      </c>
      <c r="P31" s="110">
        <v>54.75</v>
      </c>
      <c r="Q31" s="111">
        <f t="shared" ref="Q31:Q36" si="56">P31/O31-1</f>
        <v>0.3035714285714286</v>
      </c>
      <c r="R31" s="60">
        <f>P31-(P31*0.02)</f>
        <v>53.655000000000001</v>
      </c>
      <c r="S31" s="66">
        <f t="shared" ref="S31:S52" si="57">R31/O31-1</f>
        <v>0.27750000000000008</v>
      </c>
      <c r="T31" s="75"/>
      <c r="U31" s="57" t="s">
        <v>111</v>
      </c>
      <c r="V31" s="123">
        <v>43</v>
      </c>
      <c r="W31" s="124">
        <f>(V31+V31)/(26+29)-1</f>
        <v>0.56363636363636371</v>
      </c>
      <c r="X31" s="57">
        <f t="shared" ref="X31:X36" si="58">V31-(V31*0.05)</f>
        <v>40.85</v>
      </c>
      <c r="Y31" s="68">
        <f>(X31+X31)/(26+29)-1</f>
        <v>0.48545454545454558</v>
      </c>
      <c r="Z31" s="127" t="s">
        <v>112</v>
      </c>
      <c r="AA31" s="123">
        <v>64.5</v>
      </c>
      <c r="AB31" s="129">
        <f>(AA31+AA31)/(39+43.5)-1</f>
        <v>0.56363636363636371</v>
      </c>
      <c r="AC31" s="57">
        <f t="shared" ref="AC31:AC52" si="59">AA31-(AA31*0.05)</f>
        <v>61.274999999999999</v>
      </c>
      <c r="AD31" s="68">
        <f>(AC31+AC31)/(39+43.5)-1</f>
        <v>0.48545454545454536</v>
      </c>
      <c r="AE31" s="75"/>
      <c r="AF31" s="58" t="s">
        <v>140</v>
      </c>
      <c r="AG31" s="58">
        <v>42</v>
      </c>
      <c r="AH31" s="46">
        <f>(AG31+AG31)/(25+29)-1</f>
        <v>0.55555555555555558</v>
      </c>
      <c r="AI31" s="58" t="s">
        <v>147</v>
      </c>
      <c r="AJ31" s="58">
        <v>60</v>
      </c>
      <c r="AK31" s="46">
        <f>(AJ31+AJ31)/(37.5+43.5)-1</f>
        <v>0.4814814814814814</v>
      </c>
      <c r="AL31" s="77"/>
      <c r="AM31" s="59">
        <v>28</v>
      </c>
      <c r="AN31" s="132">
        <f t="shared" ref="AN31:AN36" si="60">SUM(AM31*1.45)</f>
        <v>40.6</v>
      </c>
      <c r="AO31" s="133">
        <f t="shared" ref="AO31:AO36" si="61">AN31/AM31-1</f>
        <v>0.44999999999999996</v>
      </c>
      <c r="AP31" s="59">
        <f t="shared" ref="AP31:AP52" si="62">AN31-(AN31*0.05)</f>
        <v>38.57</v>
      </c>
      <c r="AQ31" s="69">
        <f t="shared" ref="AQ31:AQ52" si="63">AP31/AM31-1</f>
        <v>0.37749999999999995</v>
      </c>
      <c r="AR31" s="59">
        <f t="shared" ref="AR31:AR36" si="64">SUM(AN31)</f>
        <v>40.6</v>
      </c>
      <c r="AS31" s="132">
        <f t="shared" ref="AS31:AS36" si="65">SUM(AR31*1.45)</f>
        <v>58.87</v>
      </c>
      <c r="AT31" s="135">
        <f t="shared" ref="AT31:AT36" si="66">AS31/AR31-1</f>
        <v>0.44999999999999996</v>
      </c>
      <c r="AU31" s="59">
        <f t="shared" ref="AU31" si="67">AS31-(AS31*0.05)</f>
        <v>55.926499999999997</v>
      </c>
      <c r="AV31" s="69">
        <f t="shared" ref="AV31" si="68">AU31/AR31-1</f>
        <v>0.37749999999999995</v>
      </c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</row>
    <row r="32" spans="1:59" s="41" customFormat="1" x14ac:dyDescent="0.25">
      <c r="A32" s="143"/>
      <c r="B32" s="79" t="s">
        <v>120</v>
      </c>
      <c r="C32" s="44">
        <v>26</v>
      </c>
      <c r="D32" s="44">
        <v>40.5</v>
      </c>
      <c r="E32" s="52">
        <f t="shared" si="54"/>
        <v>0.55769230769230771</v>
      </c>
      <c r="F32" s="44">
        <v>39</v>
      </c>
      <c r="G32" s="44">
        <v>54.68</v>
      </c>
      <c r="H32" s="52">
        <f t="shared" si="55"/>
        <v>0.40205128205128204</v>
      </c>
      <c r="I32" s="75"/>
      <c r="J32" s="60" t="s">
        <v>101</v>
      </c>
      <c r="K32" s="118">
        <v>37.5</v>
      </c>
      <c r="L32" s="111">
        <f>(K32+K32)/(25.5+28.5)-1</f>
        <v>0.38888888888888884</v>
      </c>
      <c r="M32" s="60">
        <f t="shared" ref="M32:M52" si="69">K32 - (K32*0.02)</f>
        <v>36.75</v>
      </c>
      <c r="N32" s="66">
        <f>(M32+M32)/(25.5+28.5)-1</f>
        <v>0.36111111111111116</v>
      </c>
      <c r="O32" s="60">
        <v>42.75</v>
      </c>
      <c r="P32" s="110">
        <v>55.25</v>
      </c>
      <c r="Q32" s="111">
        <f t="shared" si="56"/>
        <v>0.29239766081871355</v>
      </c>
      <c r="R32" s="60">
        <f t="shared" ref="R32:R52" si="70">P32-(P32*0.02)</f>
        <v>54.145000000000003</v>
      </c>
      <c r="S32" s="66">
        <f t="shared" si="57"/>
        <v>0.26654970760233931</v>
      </c>
      <c r="T32" s="75"/>
      <c r="U32" s="57" t="s">
        <v>111</v>
      </c>
      <c r="V32" s="123">
        <v>43</v>
      </c>
      <c r="W32" s="124">
        <f t="shared" ref="W32:W36" si="71">(V32+V32)/(26+29)-1</f>
        <v>0.56363636363636371</v>
      </c>
      <c r="X32" s="57">
        <f t="shared" si="58"/>
        <v>40.85</v>
      </c>
      <c r="Y32" s="68">
        <f t="shared" ref="Y32:Y36" si="72">(X32+X32)/(26+29)-1</f>
        <v>0.48545454545454558</v>
      </c>
      <c r="Z32" s="127" t="s">
        <v>112</v>
      </c>
      <c r="AA32" s="123">
        <v>64.5</v>
      </c>
      <c r="AB32" s="129">
        <f t="shared" ref="AB32:AB36" si="73">(AA32+AA32)/(39+43.5)-1</f>
        <v>0.56363636363636371</v>
      </c>
      <c r="AC32" s="57">
        <f t="shared" si="59"/>
        <v>61.274999999999999</v>
      </c>
      <c r="AD32" s="68">
        <f t="shared" ref="AD32:AD36" si="74">(AC32+AC32)/(39+43.5)-1</f>
        <v>0.48545454545454536</v>
      </c>
      <c r="AE32" s="75"/>
      <c r="AF32" s="58" t="s">
        <v>140</v>
      </c>
      <c r="AG32" s="58">
        <v>42</v>
      </c>
      <c r="AH32" s="46">
        <f t="shared" ref="AH32:AH36" si="75">(AG32+AG32)/(25+29)-1</f>
        <v>0.55555555555555558</v>
      </c>
      <c r="AI32" s="58" t="s">
        <v>147</v>
      </c>
      <c r="AJ32" s="58">
        <v>60</v>
      </c>
      <c r="AK32" s="46">
        <f t="shared" ref="AK32:AK36" si="76">(AJ32+AJ32)/(37.5+43.5)-1</f>
        <v>0.4814814814814814</v>
      </c>
      <c r="AL32" s="77"/>
      <c r="AM32" s="59">
        <v>29</v>
      </c>
      <c r="AN32" s="132">
        <f t="shared" si="60"/>
        <v>42.05</v>
      </c>
      <c r="AO32" s="133">
        <f t="shared" si="61"/>
        <v>0.44999999999999996</v>
      </c>
      <c r="AP32" s="59">
        <f t="shared" si="62"/>
        <v>39.947499999999998</v>
      </c>
      <c r="AQ32" s="69">
        <f t="shared" si="63"/>
        <v>0.37749999999999995</v>
      </c>
      <c r="AR32" s="59">
        <f t="shared" si="64"/>
        <v>42.05</v>
      </c>
      <c r="AS32" s="132">
        <f t="shared" si="65"/>
        <v>60.972499999999997</v>
      </c>
      <c r="AT32" s="135">
        <f t="shared" si="66"/>
        <v>0.44999999999999996</v>
      </c>
      <c r="AU32" s="59">
        <f t="shared" ref="AU32:AU52" si="77">AS32-(AS32*0.05)</f>
        <v>57.923874999999995</v>
      </c>
      <c r="AV32" s="69">
        <f t="shared" ref="AV32:AV52" si="78">AU32/AR32-1</f>
        <v>0.37749999999999995</v>
      </c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</row>
    <row r="33" spans="1:59" s="41" customFormat="1" x14ac:dyDescent="0.25">
      <c r="A33" s="143"/>
      <c r="B33" s="79" t="s">
        <v>175</v>
      </c>
      <c r="C33" s="44">
        <v>26</v>
      </c>
      <c r="D33" s="44">
        <v>40.5</v>
      </c>
      <c r="E33" s="52">
        <f t="shared" si="54"/>
        <v>0.55769230769230771</v>
      </c>
      <c r="F33" s="44">
        <v>39</v>
      </c>
      <c r="G33" s="44">
        <v>54.68</v>
      </c>
      <c r="H33" s="52">
        <f t="shared" si="55"/>
        <v>0.40205128205128204</v>
      </c>
      <c r="I33" s="75"/>
      <c r="J33" s="60" t="s">
        <v>100</v>
      </c>
      <c r="K33" s="118">
        <v>37.75</v>
      </c>
      <c r="L33" s="111">
        <f>(K33+K33)/(26+29)-1</f>
        <v>0.3727272727272728</v>
      </c>
      <c r="M33" s="60">
        <f t="shared" si="69"/>
        <v>36.994999999999997</v>
      </c>
      <c r="N33" s="66">
        <f>(M33+M33)/(26+29)-1</f>
        <v>0.34527272727272718</v>
      </c>
      <c r="O33" s="60">
        <v>43.25</v>
      </c>
      <c r="P33" s="110">
        <v>56.75</v>
      </c>
      <c r="Q33" s="111">
        <f t="shared" si="56"/>
        <v>0.31213872832369938</v>
      </c>
      <c r="R33" s="60">
        <f t="shared" si="70"/>
        <v>55.615000000000002</v>
      </c>
      <c r="S33" s="66">
        <f t="shared" si="57"/>
        <v>0.28589595375722543</v>
      </c>
      <c r="T33" s="75"/>
      <c r="U33" s="57" t="s">
        <v>111</v>
      </c>
      <c r="V33" s="123">
        <v>43</v>
      </c>
      <c r="W33" s="124">
        <f t="shared" si="71"/>
        <v>0.56363636363636371</v>
      </c>
      <c r="X33" s="57">
        <f t="shared" si="58"/>
        <v>40.85</v>
      </c>
      <c r="Y33" s="68">
        <f t="shared" si="72"/>
        <v>0.48545454545454558</v>
      </c>
      <c r="Z33" s="127" t="s">
        <v>112</v>
      </c>
      <c r="AA33" s="123">
        <v>64.5</v>
      </c>
      <c r="AB33" s="129">
        <f t="shared" si="73"/>
        <v>0.56363636363636371</v>
      </c>
      <c r="AC33" s="57">
        <f t="shared" si="59"/>
        <v>61.274999999999999</v>
      </c>
      <c r="AD33" s="68">
        <f t="shared" si="74"/>
        <v>0.48545454545454536</v>
      </c>
      <c r="AE33" s="75"/>
      <c r="AF33" s="58" t="s">
        <v>140</v>
      </c>
      <c r="AG33" s="58">
        <v>42</v>
      </c>
      <c r="AH33" s="46">
        <f t="shared" si="75"/>
        <v>0.55555555555555558</v>
      </c>
      <c r="AI33" s="58" t="s">
        <v>147</v>
      </c>
      <c r="AJ33" s="58">
        <v>60</v>
      </c>
      <c r="AK33" s="46">
        <f t="shared" si="76"/>
        <v>0.4814814814814814</v>
      </c>
      <c r="AL33" s="77"/>
      <c r="AM33" s="59">
        <v>30</v>
      </c>
      <c r="AN33" s="132">
        <f t="shared" si="60"/>
        <v>43.5</v>
      </c>
      <c r="AO33" s="133">
        <f t="shared" si="61"/>
        <v>0.44999999999999996</v>
      </c>
      <c r="AP33" s="59">
        <f t="shared" si="62"/>
        <v>41.325000000000003</v>
      </c>
      <c r="AQ33" s="69">
        <f t="shared" si="63"/>
        <v>0.37750000000000017</v>
      </c>
      <c r="AR33" s="59">
        <f t="shared" si="64"/>
        <v>43.5</v>
      </c>
      <c r="AS33" s="132">
        <f t="shared" si="65"/>
        <v>63.074999999999996</v>
      </c>
      <c r="AT33" s="135">
        <f t="shared" si="66"/>
        <v>0.44999999999999996</v>
      </c>
      <c r="AU33" s="59">
        <f t="shared" si="77"/>
        <v>59.921249999999993</v>
      </c>
      <c r="AV33" s="69">
        <f t="shared" si="78"/>
        <v>0.37749999999999995</v>
      </c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</row>
    <row r="34" spans="1:59" s="41" customFormat="1" x14ac:dyDescent="0.25">
      <c r="A34" s="143"/>
      <c r="B34" s="79" t="s">
        <v>121</v>
      </c>
      <c r="C34" s="44">
        <v>28</v>
      </c>
      <c r="D34" s="44">
        <v>42.5</v>
      </c>
      <c r="E34" s="52">
        <f t="shared" si="54"/>
        <v>0.51785714285714279</v>
      </c>
      <c r="F34" s="44">
        <v>42</v>
      </c>
      <c r="G34" s="44">
        <v>57.38</v>
      </c>
      <c r="H34" s="52">
        <f t="shared" si="55"/>
        <v>0.36619047619047618</v>
      </c>
      <c r="I34" s="75"/>
      <c r="J34" s="60" t="s">
        <v>100</v>
      </c>
      <c r="K34" s="118">
        <v>37.75</v>
      </c>
      <c r="L34" s="111">
        <f>(K34+K34)/(26+29)-1</f>
        <v>0.3727272727272728</v>
      </c>
      <c r="M34" s="60">
        <f t="shared" si="69"/>
        <v>36.994999999999997</v>
      </c>
      <c r="N34" s="66">
        <f>(M34+M34)/(26+29)-1</f>
        <v>0.34527272727272718</v>
      </c>
      <c r="O34" s="60">
        <v>43.25</v>
      </c>
      <c r="P34" s="110">
        <v>55.5</v>
      </c>
      <c r="Q34" s="111">
        <f t="shared" si="56"/>
        <v>0.28323699421965309</v>
      </c>
      <c r="R34" s="60">
        <f t="shared" si="70"/>
        <v>54.39</v>
      </c>
      <c r="S34" s="66">
        <f t="shared" si="57"/>
        <v>0.2575722543352601</v>
      </c>
      <c r="T34" s="75"/>
      <c r="U34" s="57" t="s">
        <v>111</v>
      </c>
      <c r="V34" s="123">
        <v>43</v>
      </c>
      <c r="W34" s="124">
        <f t="shared" si="71"/>
        <v>0.56363636363636371</v>
      </c>
      <c r="X34" s="57">
        <f t="shared" si="58"/>
        <v>40.85</v>
      </c>
      <c r="Y34" s="68">
        <f t="shared" si="72"/>
        <v>0.48545454545454558</v>
      </c>
      <c r="Z34" s="127" t="s">
        <v>112</v>
      </c>
      <c r="AA34" s="123">
        <v>64.5</v>
      </c>
      <c r="AB34" s="129">
        <f t="shared" si="73"/>
        <v>0.56363636363636371</v>
      </c>
      <c r="AC34" s="57">
        <f t="shared" si="59"/>
        <v>61.274999999999999</v>
      </c>
      <c r="AD34" s="68">
        <f t="shared" si="74"/>
        <v>0.48545454545454536</v>
      </c>
      <c r="AE34" s="75"/>
      <c r="AF34" s="58" t="s">
        <v>140</v>
      </c>
      <c r="AG34" s="58">
        <v>42</v>
      </c>
      <c r="AH34" s="46">
        <f t="shared" si="75"/>
        <v>0.55555555555555558</v>
      </c>
      <c r="AI34" s="58" t="s">
        <v>147</v>
      </c>
      <c r="AJ34" s="58">
        <v>60</v>
      </c>
      <c r="AK34" s="46">
        <f t="shared" si="76"/>
        <v>0.4814814814814814</v>
      </c>
      <c r="AL34" s="77"/>
      <c r="AM34" s="59">
        <v>29</v>
      </c>
      <c r="AN34" s="132">
        <f t="shared" si="60"/>
        <v>42.05</v>
      </c>
      <c r="AO34" s="133">
        <f t="shared" si="61"/>
        <v>0.44999999999999996</v>
      </c>
      <c r="AP34" s="59">
        <f t="shared" si="62"/>
        <v>39.947499999999998</v>
      </c>
      <c r="AQ34" s="69">
        <f t="shared" si="63"/>
        <v>0.37749999999999995</v>
      </c>
      <c r="AR34" s="59">
        <f t="shared" si="64"/>
        <v>42.05</v>
      </c>
      <c r="AS34" s="132">
        <f t="shared" si="65"/>
        <v>60.972499999999997</v>
      </c>
      <c r="AT34" s="135">
        <f t="shared" si="66"/>
        <v>0.44999999999999996</v>
      </c>
      <c r="AU34" s="59">
        <f t="shared" si="77"/>
        <v>57.923874999999995</v>
      </c>
      <c r="AV34" s="69">
        <f t="shared" si="78"/>
        <v>0.37749999999999995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</row>
    <row r="35" spans="1:59" s="41" customFormat="1" x14ac:dyDescent="0.25">
      <c r="A35" s="143"/>
      <c r="B35" s="79" t="s">
        <v>122</v>
      </c>
      <c r="C35" s="44">
        <v>28</v>
      </c>
      <c r="D35" s="44">
        <v>42.5</v>
      </c>
      <c r="E35" s="52">
        <f t="shared" si="54"/>
        <v>0.51785714285714279</v>
      </c>
      <c r="F35" s="44">
        <v>42</v>
      </c>
      <c r="G35" s="44">
        <v>57.38</v>
      </c>
      <c r="H35" s="52">
        <f t="shared" si="55"/>
        <v>0.36619047619047618</v>
      </c>
      <c r="I35" s="75"/>
      <c r="J35" s="60" t="s">
        <v>102</v>
      </c>
      <c r="K35" s="118">
        <v>38.25</v>
      </c>
      <c r="L35" s="111">
        <f>(K35+K35)/(26.5+29.5)-1</f>
        <v>0.3660714285714286</v>
      </c>
      <c r="M35" s="60">
        <f t="shared" si="69"/>
        <v>37.484999999999999</v>
      </c>
      <c r="N35" s="66">
        <f>(M35+M35)/(26.5+29.5)-1</f>
        <v>0.33874999999999988</v>
      </c>
      <c r="O35" s="60">
        <v>44.25</v>
      </c>
      <c r="P35" s="110">
        <v>57.75</v>
      </c>
      <c r="Q35" s="111">
        <f t="shared" si="56"/>
        <v>0.30508474576271194</v>
      </c>
      <c r="R35" s="60">
        <f t="shared" si="70"/>
        <v>56.594999999999999</v>
      </c>
      <c r="S35" s="66">
        <f t="shared" si="57"/>
        <v>0.27898305084745756</v>
      </c>
      <c r="T35" s="75"/>
      <c r="U35" s="57" t="s">
        <v>111</v>
      </c>
      <c r="V35" s="123">
        <v>43</v>
      </c>
      <c r="W35" s="124">
        <f t="shared" si="71"/>
        <v>0.56363636363636371</v>
      </c>
      <c r="X35" s="57">
        <f t="shared" si="58"/>
        <v>40.85</v>
      </c>
      <c r="Y35" s="68">
        <f t="shared" si="72"/>
        <v>0.48545454545454558</v>
      </c>
      <c r="Z35" s="127" t="s">
        <v>112</v>
      </c>
      <c r="AA35" s="123">
        <v>64.5</v>
      </c>
      <c r="AB35" s="129">
        <f t="shared" si="73"/>
        <v>0.56363636363636371</v>
      </c>
      <c r="AC35" s="57">
        <f t="shared" si="59"/>
        <v>61.274999999999999</v>
      </c>
      <c r="AD35" s="68">
        <f t="shared" si="74"/>
        <v>0.48545454545454536</v>
      </c>
      <c r="AE35" s="75"/>
      <c r="AF35" s="58" t="s">
        <v>140</v>
      </c>
      <c r="AG35" s="58">
        <v>42</v>
      </c>
      <c r="AH35" s="46">
        <f t="shared" si="75"/>
        <v>0.55555555555555558</v>
      </c>
      <c r="AI35" s="58" t="s">
        <v>147</v>
      </c>
      <c r="AJ35" s="58">
        <v>60</v>
      </c>
      <c r="AK35" s="46">
        <f t="shared" si="76"/>
        <v>0.4814814814814814</v>
      </c>
      <c r="AL35" s="77"/>
      <c r="AM35" s="59">
        <v>30</v>
      </c>
      <c r="AN35" s="132">
        <f t="shared" si="60"/>
        <v>43.5</v>
      </c>
      <c r="AO35" s="133">
        <f t="shared" si="61"/>
        <v>0.44999999999999996</v>
      </c>
      <c r="AP35" s="59">
        <f t="shared" si="62"/>
        <v>41.325000000000003</v>
      </c>
      <c r="AQ35" s="69">
        <f t="shared" si="63"/>
        <v>0.37750000000000017</v>
      </c>
      <c r="AR35" s="59">
        <f t="shared" si="64"/>
        <v>43.5</v>
      </c>
      <c r="AS35" s="132">
        <f t="shared" si="65"/>
        <v>63.074999999999996</v>
      </c>
      <c r="AT35" s="135">
        <f t="shared" si="66"/>
        <v>0.44999999999999996</v>
      </c>
      <c r="AU35" s="59">
        <f t="shared" si="77"/>
        <v>59.921249999999993</v>
      </c>
      <c r="AV35" s="69">
        <f t="shared" si="78"/>
        <v>0.37749999999999995</v>
      </c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</row>
    <row r="36" spans="1:59" s="41" customFormat="1" x14ac:dyDescent="0.25">
      <c r="A36" s="144"/>
      <c r="B36" s="79" t="s">
        <v>176</v>
      </c>
      <c r="C36" s="44">
        <v>28</v>
      </c>
      <c r="D36" s="44">
        <v>42.5</v>
      </c>
      <c r="E36" s="52">
        <f t="shared" si="54"/>
        <v>0.51785714285714279</v>
      </c>
      <c r="F36" s="44">
        <v>42</v>
      </c>
      <c r="G36" s="44">
        <v>57.38</v>
      </c>
      <c r="H36" s="52">
        <f t="shared" si="55"/>
        <v>0.36619047619047618</v>
      </c>
      <c r="I36" s="75"/>
      <c r="J36" s="60" t="s">
        <v>103</v>
      </c>
      <c r="K36" s="118">
        <v>38.75</v>
      </c>
      <c r="L36" s="111">
        <f>(K36+K36)/(27+31)-1</f>
        <v>0.3362068965517242</v>
      </c>
      <c r="M36" s="60">
        <f t="shared" si="69"/>
        <v>37.975000000000001</v>
      </c>
      <c r="N36" s="66">
        <f>(M36+M36)/(27+31)-1</f>
        <v>0.30948275862068964</v>
      </c>
      <c r="O36" s="60">
        <v>45</v>
      </c>
      <c r="P36" s="110">
        <v>58.25</v>
      </c>
      <c r="Q36" s="111">
        <f t="shared" si="56"/>
        <v>0.29444444444444451</v>
      </c>
      <c r="R36" s="60">
        <f t="shared" si="70"/>
        <v>57.085000000000001</v>
      </c>
      <c r="S36" s="66">
        <f t="shared" si="57"/>
        <v>0.26855555555555566</v>
      </c>
      <c r="T36" s="75"/>
      <c r="U36" s="57" t="s">
        <v>111</v>
      </c>
      <c r="V36" s="123">
        <v>43</v>
      </c>
      <c r="W36" s="124">
        <f t="shared" si="71"/>
        <v>0.56363636363636371</v>
      </c>
      <c r="X36" s="57">
        <f t="shared" si="58"/>
        <v>40.85</v>
      </c>
      <c r="Y36" s="68">
        <f t="shared" si="72"/>
        <v>0.48545454545454558</v>
      </c>
      <c r="Z36" s="127" t="s">
        <v>112</v>
      </c>
      <c r="AA36" s="123">
        <v>64.5</v>
      </c>
      <c r="AB36" s="129">
        <f t="shared" si="73"/>
        <v>0.56363636363636371</v>
      </c>
      <c r="AC36" s="57">
        <f t="shared" si="59"/>
        <v>61.274999999999999</v>
      </c>
      <c r="AD36" s="68">
        <f t="shared" si="74"/>
        <v>0.48545454545454536</v>
      </c>
      <c r="AE36" s="75"/>
      <c r="AF36" s="58" t="s">
        <v>140</v>
      </c>
      <c r="AG36" s="58">
        <v>42</v>
      </c>
      <c r="AH36" s="46">
        <f t="shared" si="75"/>
        <v>0.55555555555555558</v>
      </c>
      <c r="AI36" s="58" t="s">
        <v>147</v>
      </c>
      <c r="AJ36" s="58">
        <v>60</v>
      </c>
      <c r="AK36" s="46">
        <f t="shared" si="76"/>
        <v>0.4814814814814814</v>
      </c>
      <c r="AL36" s="77"/>
      <c r="AM36" s="59">
        <v>31</v>
      </c>
      <c r="AN36" s="132">
        <f t="shared" si="60"/>
        <v>44.949999999999996</v>
      </c>
      <c r="AO36" s="133">
        <f t="shared" si="61"/>
        <v>0.44999999999999996</v>
      </c>
      <c r="AP36" s="59">
        <f t="shared" si="62"/>
        <v>42.702499999999993</v>
      </c>
      <c r="AQ36" s="69">
        <f t="shared" si="63"/>
        <v>0.37749999999999972</v>
      </c>
      <c r="AR36" s="59">
        <f t="shared" si="64"/>
        <v>44.949999999999996</v>
      </c>
      <c r="AS36" s="132">
        <f t="shared" si="65"/>
        <v>65.177499999999995</v>
      </c>
      <c r="AT36" s="135">
        <f t="shared" si="66"/>
        <v>0.44999999999999996</v>
      </c>
      <c r="AU36" s="59">
        <f t="shared" si="77"/>
        <v>61.918624999999992</v>
      </c>
      <c r="AV36" s="69">
        <f t="shared" si="78"/>
        <v>0.37749999999999995</v>
      </c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</row>
    <row r="37" spans="1:59" s="78" customFormat="1" ht="8.4499999999999993" customHeight="1" x14ac:dyDescent="0.25">
      <c r="A37" s="92"/>
      <c r="B37" s="73"/>
      <c r="C37" s="74"/>
      <c r="D37" s="74"/>
      <c r="E37" s="75"/>
      <c r="F37" s="74"/>
      <c r="G37" s="74"/>
      <c r="H37" s="75"/>
      <c r="I37" s="75"/>
      <c r="J37" s="74"/>
      <c r="K37" s="115"/>
      <c r="L37" s="130"/>
      <c r="M37" s="74"/>
      <c r="N37" s="75"/>
      <c r="O37" s="74"/>
      <c r="P37" s="120"/>
      <c r="Q37" s="130"/>
      <c r="R37" s="75"/>
      <c r="S37" s="75"/>
      <c r="T37" s="75"/>
      <c r="U37" s="76"/>
      <c r="V37" s="76"/>
      <c r="W37" s="77"/>
      <c r="X37" s="76"/>
      <c r="Y37" s="77"/>
      <c r="Z37" s="128"/>
      <c r="AA37" s="119"/>
      <c r="AB37" s="130"/>
      <c r="AC37" s="75"/>
      <c r="AD37" s="75"/>
      <c r="AE37" s="75"/>
      <c r="AF37" s="76"/>
      <c r="AG37" s="76"/>
      <c r="AH37" s="77"/>
      <c r="AI37" s="76"/>
      <c r="AJ37" s="76"/>
      <c r="AK37" s="77"/>
      <c r="AL37" s="77"/>
      <c r="AM37" s="76"/>
      <c r="AN37" s="119"/>
      <c r="AO37" s="126"/>
      <c r="AP37" s="77"/>
      <c r="AQ37" s="77"/>
      <c r="AR37" s="76"/>
      <c r="AS37" s="119"/>
      <c r="AT37" s="130"/>
      <c r="AU37" s="75"/>
      <c r="AV37" s="75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</row>
    <row r="38" spans="1:59" s="41" customFormat="1" x14ac:dyDescent="0.25">
      <c r="A38" s="148" t="s">
        <v>2</v>
      </c>
      <c r="B38" s="79" t="s">
        <v>119</v>
      </c>
      <c r="C38" s="43">
        <v>33</v>
      </c>
      <c r="D38" s="43">
        <v>53</v>
      </c>
      <c r="E38" s="53">
        <f>D38/C38-1</f>
        <v>0.60606060606060597</v>
      </c>
      <c r="F38" s="43">
        <v>49.5</v>
      </c>
      <c r="G38" s="43">
        <v>71.55</v>
      </c>
      <c r="H38" s="52">
        <f t="shared" ref="H38:H43" si="79">G38/F38-1</f>
        <v>0.44545454545454533</v>
      </c>
      <c r="I38" s="75"/>
      <c r="J38" s="56" t="s">
        <v>108</v>
      </c>
      <c r="K38" s="117">
        <v>49</v>
      </c>
      <c r="L38" s="111">
        <f t="shared" ref="L38:L43" si="80">(K38+K38)/(29+33)-1</f>
        <v>0.58064516129032251</v>
      </c>
      <c r="M38" s="60">
        <f t="shared" si="69"/>
        <v>48.02</v>
      </c>
      <c r="N38" s="66">
        <f>(M38+M38)/(29+33)-1</f>
        <v>0.54903225806451617</v>
      </c>
      <c r="O38" s="56">
        <v>46.5</v>
      </c>
      <c r="P38" s="112">
        <v>73.5</v>
      </c>
      <c r="Q38" s="111">
        <f t="shared" ref="Q38:Q43" si="81">P38/O38-1</f>
        <v>0.58064516129032251</v>
      </c>
      <c r="R38" s="60">
        <f t="shared" si="70"/>
        <v>72.03</v>
      </c>
      <c r="S38" s="66">
        <f t="shared" si="57"/>
        <v>0.54903225806451617</v>
      </c>
      <c r="T38" s="75"/>
      <c r="U38" s="57" t="s">
        <v>115</v>
      </c>
      <c r="V38" s="123">
        <v>54</v>
      </c>
      <c r="W38" s="124">
        <f>(V38+V38)/(33+35)-1</f>
        <v>0.58823529411764697</v>
      </c>
      <c r="X38" s="57">
        <f t="shared" ref="X38:X43" si="82">V38-(V38*0.05)</f>
        <v>51.3</v>
      </c>
      <c r="Y38" s="68">
        <f>(X38+X38)/(33+35)-1</f>
        <v>0.50882352941176467</v>
      </c>
      <c r="Z38" s="127" t="s">
        <v>116</v>
      </c>
      <c r="AA38" s="123">
        <v>81</v>
      </c>
      <c r="AB38" s="129">
        <f>(AA38+AA38)/(49.25+52.5)-1</f>
        <v>0.59213759213759221</v>
      </c>
      <c r="AC38" s="57">
        <f t="shared" si="59"/>
        <v>76.95</v>
      </c>
      <c r="AD38" s="68">
        <f>(AC38+AC38)/(49.25+52.5)-1</f>
        <v>0.51253071253071258</v>
      </c>
      <c r="AE38" s="75"/>
      <c r="AF38" s="58" t="s">
        <v>143</v>
      </c>
      <c r="AG38" s="58">
        <v>37</v>
      </c>
      <c r="AH38" s="46">
        <f>(AG38+AG38)/(25+27)-1</f>
        <v>0.42307692307692313</v>
      </c>
      <c r="AI38" s="58" t="s">
        <v>144</v>
      </c>
      <c r="AJ38" s="58">
        <v>53</v>
      </c>
      <c r="AK38" s="46">
        <f>(AJ38+AJ38)/(34.5+37.5)-1</f>
        <v>0.47222222222222232</v>
      </c>
      <c r="AL38" s="77"/>
      <c r="AM38" s="59">
        <v>26</v>
      </c>
      <c r="AN38" s="132">
        <f t="shared" si="23"/>
        <v>37.699999999999996</v>
      </c>
      <c r="AO38" s="133">
        <f t="shared" si="3"/>
        <v>0.44999999999999973</v>
      </c>
      <c r="AP38" s="59">
        <f t="shared" si="62"/>
        <v>35.814999999999998</v>
      </c>
      <c r="AQ38" s="69">
        <f t="shared" si="63"/>
        <v>0.37749999999999995</v>
      </c>
      <c r="AR38" s="59">
        <f t="shared" si="24"/>
        <v>37.699999999999996</v>
      </c>
      <c r="AS38" s="132">
        <f t="shared" si="25"/>
        <v>54.664999999999992</v>
      </c>
      <c r="AT38" s="135">
        <f t="shared" si="6"/>
        <v>0.44999999999999996</v>
      </c>
      <c r="AU38" s="59">
        <f t="shared" si="77"/>
        <v>51.931749999999994</v>
      </c>
      <c r="AV38" s="69">
        <f t="shared" si="78"/>
        <v>0.37749999999999995</v>
      </c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</row>
    <row r="39" spans="1:59" s="41" customFormat="1" x14ac:dyDescent="0.25">
      <c r="A39" s="149"/>
      <c r="B39" s="79" t="s">
        <v>120</v>
      </c>
      <c r="C39" s="43">
        <v>33</v>
      </c>
      <c r="D39" s="43">
        <v>53</v>
      </c>
      <c r="E39" s="53">
        <f t="shared" ref="E39:E43" si="83">D39/C39-1</f>
        <v>0.60606060606060597</v>
      </c>
      <c r="F39" s="43">
        <v>49.5</v>
      </c>
      <c r="G39" s="43">
        <v>71.55</v>
      </c>
      <c r="H39" s="52">
        <f t="shared" si="79"/>
        <v>0.44545454545454533</v>
      </c>
      <c r="I39" s="75"/>
      <c r="J39" s="56" t="s">
        <v>108</v>
      </c>
      <c r="K39" s="117">
        <v>49</v>
      </c>
      <c r="L39" s="111">
        <f t="shared" si="80"/>
        <v>0.58064516129032251</v>
      </c>
      <c r="M39" s="60">
        <f t="shared" si="69"/>
        <v>48.02</v>
      </c>
      <c r="N39" s="66">
        <f t="shared" ref="N39:N43" si="84">(M39+M39)/(29+33)-1</f>
        <v>0.54903225806451617</v>
      </c>
      <c r="O39" s="56">
        <v>46.5</v>
      </c>
      <c r="P39" s="112">
        <v>73.5</v>
      </c>
      <c r="Q39" s="111">
        <f t="shared" si="81"/>
        <v>0.58064516129032251</v>
      </c>
      <c r="R39" s="60">
        <f t="shared" si="70"/>
        <v>72.03</v>
      </c>
      <c r="S39" s="66">
        <f t="shared" si="57"/>
        <v>0.54903225806451617</v>
      </c>
      <c r="T39" s="75"/>
      <c r="U39" s="57" t="s">
        <v>115</v>
      </c>
      <c r="V39" s="123">
        <v>54</v>
      </c>
      <c r="W39" s="124">
        <f t="shared" ref="W39:W43" si="85">(V39+V39)/(33+35)-1</f>
        <v>0.58823529411764697</v>
      </c>
      <c r="X39" s="57">
        <f t="shared" si="82"/>
        <v>51.3</v>
      </c>
      <c r="Y39" s="68">
        <f t="shared" ref="Y39:Y43" si="86">(X39+X39)/(33+35)-1</f>
        <v>0.50882352941176467</v>
      </c>
      <c r="Z39" s="127" t="s">
        <v>116</v>
      </c>
      <c r="AA39" s="123">
        <v>81</v>
      </c>
      <c r="AB39" s="129">
        <f t="shared" ref="AB39:AB43" si="87">(AA39+AA39)/(49.25+52.5)-1</f>
        <v>0.59213759213759221</v>
      </c>
      <c r="AC39" s="57">
        <f t="shared" si="59"/>
        <v>76.95</v>
      </c>
      <c r="AD39" s="68">
        <f t="shared" ref="AD39:AD43" si="88">(AC39+AC39)/(49.25+52.5)-1</f>
        <v>0.51253071253071258</v>
      </c>
      <c r="AE39" s="75"/>
      <c r="AF39" s="58" t="s">
        <v>143</v>
      </c>
      <c r="AG39" s="58">
        <v>37</v>
      </c>
      <c r="AH39" s="46">
        <f t="shared" ref="AH39:AH43" si="89">(AG39+AG39)/(25+27)-1</f>
        <v>0.42307692307692313</v>
      </c>
      <c r="AI39" s="58" t="s">
        <v>144</v>
      </c>
      <c r="AJ39" s="58">
        <v>53</v>
      </c>
      <c r="AK39" s="46">
        <f t="shared" ref="AK39:AK43" si="90">(AJ39+AJ39)/(34.5+37.5)-1</f>
        <v>0.47222222222222232</v>
      </c>
      <c r="AL39" s="77"/>
      <c r="AM39" s="59">
        <v>27</v>
      </c>
      <c r="AN39" s="132">
        <f>SUM(AM39*1.45)</f>
        <v>39.15</v>
      </c>
      <c r="AO39" s="133">
        <f t="shared" si="3"/>
        <v>0.44999999999999996</v>
      </c>
      <c r="AP39" s="59">
        <f t="shared" si="62"/>
        <v>37.192499999999995</v>
      </c>
      <c r="AQ39" s="69">
        <f t="shared" si="63"/>
        <v>0.37749999999999972</v>
      </c>
      <c r="AR39" s="59">
        <f>SUM(AN39)</f>
        <v>39.15</v>
      </c>
      <c r="AS39" s="132">
        <f>SUM(AR39*1.45)</f>
        <v>56.767499999999998</v>
      </c>
      <c r="AT39" s="135">
        <f t="shared" si="6"/>
        <v>0.44999999999999996</v>
      </c>
      <c r="AU39" s="59">
        <f t="shared" si="77"/>
        <v>53.929124999999999</v>
      </c>
      <c r="AV39" s="69">
        <f t="shared" si="78"/>
        <v>0.37749999999999995</v>
      </c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</row>
    <row r="40" spans="1:59" s="41" customFormat="1" x14ac:dyDescent="0.25">
      <c r="A40" s="149"/>
      <c r="B40" s="79" t="s">
        <v>175</v>
      </c>
      <c r="C40" s="43">
        <v>33</v>
      </c>
      <c r="D40" s="43">
        <v>53</v>
      </c>
      <c r="E40" s="53">
        <f t="shared" si="83"/>
        <v>0.60606060606060597</v>
      </c>
      <c r="F40" s="43">
        <v>49.5</v>
      </c>
      <c r="G40" s="43">
        <v>71.55</v>
      </c>
      <c r="H40" s="52">
        <f t="shared" si="79"/>
        <v>0.44545454545454533</v>
      </c>
      <c r="I40" s="75"/>
      <c r="J40" s="56" t="s">
        <v>108</v>
      </c>
      <c r="K40" s="117">
        <v>49</v>
      </c>
      <c r="L40" s="111">
        <f t="shared" si="80"/>
        <v>0.58064516129032251</v>
      </c>
      <c r="M40" s="60">
        <f t="shared" si="69"/>
        <v>48.02</v>
      </c>
      <c r="N40" s="66">
        <f t="shared" si="84"/>
        <v>0.54903225806451617</v>
      </c>
      <c r="O40" s="56">
        <v>46.5</v>
      </c>
      <c r="P40" s="112">
        <v>73.5</v>
      </c>
      <c r="Q40" s="111">
        <f t="shared" si="81"/>
        <v>0.58064516129032251</v>
      </c>
      <c r="R40" s="60">
        <f t="shared" si="70"/>
        <v>72.03</v>
      </c>
      <c r="S40" s="66">
        <f t="shared" si="57"/>
        <v>0.54903225806451617</v>
      </c>
      <c r="T40" s="75"/>
      <c r="U40" s="57" t="s">
        <v>115</v>
      </c>
      <c r="V40" s="123">
        <v>54</v>
      </c>
      <c r="W40" s="124">
        <f t="shared" si="85"/>
        <v>0.58823529411764697</v>
      </c>
      <c r="X40" s="57">
        <f t="shared" si="82"/>
        <v>51.3</v>
      </c>
      <c r="Y40" s="68">
        <f t="shared" si="86"/>
        <v>0.50882352941176467</v>
      </c>
      <c r="Z40" s="127" t="s">
        <v>116</v>
      </c>
      <c r="AA40" s="123">
        <v>81</v>
      </c>
      <c r="AB40" s="129">
        <f t="shared" si="87"/>
        <v>0.59213759213759221</v>
      </c>
      <c r="AC40" s="57">
        <f t="shared" si="59"/>
        <v>76.95</v>
      </c>
      <c r="AD40" s="68">
        <f t="shared" si="88"/>
        <v>0.51253071253071258</v>
      </c>
      <c r="AE40" s="75"/>
      <c r="AF40" s="58" t="s">
        <v>143</v>
      </c>
      <c r="AG40" s="58">
        <v>37</v>
      </c>
      <c r="AH40" s="46">
        <f t="shared" si="89"/>
        <v>0.42307692307692313</v>
      </c>
      <c r="AI40" s="58" t="s">
        <v>144</v>
      </c>
      <c r="AJ40" s="58">
        <v>53</v>
      </c>
      <c r="AK40" s="46">
        <f t="shared" si="90"/>
        <v>0.47222222222222232</v>
      </c>
      <c r="AL40" s="77"/>
      <c r="AM40" s="59">
        <v>28</v>
      </c>
      <c r="AN40" s="132">
        <f>SUM(AM40*1.45)</f>
        <v>40.6</v>
      </c>
      <c r="AO40" s="133">
        <f t="shared" si="3"/>
        <v>0.44999999999999996</v>
      </c>
      <c r="AP40" s="59">
        <f t="shared" si="62"/>
        <v>38.57</v>
      </c>
      <c r="AQ40" s="69">
        <f t="shared" si="63"/>
        <v>0.37749999999999995</v>
      </c>
      <c r="AR40" s="59">
        <f>SUM(AN40)</f>
        <v>40.6</v>
      </c>
      <c r="AS40" s="132">
        <f>SUM(AR40*1.45)</f>
        <v>58.87</v>
      </c>
      <c r="AT40" s="135">
        <f t="shared" si="6"/>
        <v>0.44999999999999996</v>
      </c>
      <c r="AU40" s="59">
        <f t="shared" si="77"/>
        <v>55.926499999999997</v>
      </c>
      <c r="AV40" s="69">
        <f t="shared" si="78"/>
        <v>0.37749999999999995</v>
      </c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</row>
    <row r="41" spans="1:59" s="41" customFormat="1" x14ac:dyDescent="0.25">
      <c r="A41" s="149"/>
      <c r="B41" s="79" t="s">
        <v>121</v>
      </c>
      <c r="C41" s="43">
        <v>33</v>
      </c>
      <c r="D41" s="43">
        <v>53</v>
      </c>
      <c r="E41" s="53">
        <f t="shared" si="83"/>
        <v>0.60606060606060597</v>
      </c>
      <c r="F41" s="43">
        <v>49.5</v>
      </c>
      <c r="G41" s="43">
        <v>71.55</v>
      </c>
      <c r="H41" s="52">
        <f t="shared" si="79"/>
        <v>0.44545454545454533</v>
      </c>
      <c r="I41" s="75"/>
      <c r="J41" s="56" t="s">
        <v>108</v>
      </c>
      <c r="K41" s="117">
        <v>49</v>
      </c>
      <c r="L41" s="111">
        <f t="shared" si="80"/>
        <v>0.58064516129032251</v>
      </c>
      <c r="M41" s="60">
        <f t="shared" si="69"/>
        <v>48.02</v>
      </c>
      <c r="N41" s="66">
        <f t="shared" si="84"/>
        <v>0.54903225806451617</v>
      </c>
      <c r="O41" s="56">
        <v>46.5</v>
      </c>
      <c r="P41" s="112">
        <v>73.5</v>
      </c>
      <c r="Q41" s="111">
        <f t="shared" si="81"/>
        <v>0.58064516129032251</v>
      </c>
      <c r="R41" s="60">
        <f t="shared" si="70"/>
        <v>72.03</v>
      </c>
      <c r="S41" s="66">
        <f t="shared" si="57"/>
        <v>0.54903225806451617</v>
      </c>
      <c r="T41" s="75"/>
      <c r="U41" s="57" t="s">
        <v>115</v>
      </c>
      <c r="V41" s="123">
        <v>54</v>
      </c>
      <c r="W41" s="124">
        <f t="shared" si="85"/>
        <v>0.58823529411764697</v>
      </c>
      <c r="X41" s="57">
        <f t="shared" si="82"/>
        <v>51.3</v>
      </c>
      <c r="Y41" s="68">
        <f t="shared" si="86"/>
        <v>0.50882352941176467</v>
      </c>
      <c r="Z41" s="127" t="s">
        <v>116</v>
      </c>
      <c r="AA41" s="123">
        <v>81</v>
      </c>
      <c r="AB41" s="129">
        <f t="shared" si="87"/>
        <v>0.59213759213759221</v>
      </c>
      <c r="AC41" s="57">
        <f t="shared" si="59"/>
        <v>76.95</v>
      </c>
      <c r="AD41" s="68">
        <f t="shared" si="88"/>
        <v>0.51253071253071258</v>
      </c>
      <c r="AE41" s="75"/>
      <c r="AF41" s="58" t="s">
        <v>143</v>
      </c>
      <c r="AG41" s="58">
        <v>37</v>
      </c>
      <c r="AH41" s="46">
        <f t="shared" si="89"/>
        <v>0.42307692307692313</v>
      </c>
      <c r="AI41" s="58" t="s">
        <v>144</v>
      </c>
      <c r="AJ41" s="58">
        <v>53</v>
      </c>
      <c r="AK41" s="46">
        <f t="shared" si="90"/>
        <v>0.47222222222222232</v>
      </c>
      <c r="AL41" s="77"/>
      <c r="AM41" s="59">
        <v>27</v>
      </c>
      <c r="AN41" s="132">
        <f t="shared" si="23"/>
        <v>39.15</v>
      </c>
      <c r="AO41" s="133">
        <f t="shared" si="3"/>
        <v>0.44999999999999996</v>
      </c>
      <c r="AP41" s="59">
        <f t="shared" si="62"/>
        <v>37.192499999999995</v>
      </c>
      <c r="AQ41" s="69">
        <f t="shared" si="63"/>
        <v>0.37749999999999972</v>
      </c>
      <c r="AR41" s="59">
        <f t="shared" si="24"/>
        <v>39.15</v>
      </c>
      <c r="AS41" s="132">
        <f t="shared" si="25"/>
        <v>56.767499999999998</v>
      </c>
      <c r="AT41" s="135">
        <f t="shared" si="6"/>
        <v>0.44999999999999996</v>
      </c>
      <c r="AU41" s="59">
        <f t="shared" si="77"/>
        <v>53.929124999999999</v>
      </c>
      <c r="AV41" s="69">
        <f t="shared" si="78"/>
        <v>0.37749999999999995</v>
      </c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</row>
    <row r="42" spans="1:59" s="41" customFormat="1" x14ac:dyDescent="0.25">
      <c r="A42" s="149"/>
      <c r="B42" s="79" t="s">
        <v>122</v>
      </c>
      <c r="C42" s="43">
        <v>33</v>
      </c>
      <c r="D42" s="43">
        <v>53</v>
      </c>
      <c r="E42" s="53">
        <f t="shared" si="83"/>
        <v>0.60606060606060597</v>
      </c>
      <c r="F42" s="43">
        <v>49.5</v>
      </c>
      <c r="G42" s="43">
        <v>71.55</v>
      </c>
      <c r="H42" s="52">
        <f t="shared" si="79"/>
        <v>0.44545454545454533</v>
      </c>
      <c r="I42" s="75"/>
      <c r="J42" s="56" t="s">
        <v>108</v>
      </c>
      <c r="K42" s="117">
        <v>49</v>
      </c>
      <c r="L42" s="111">
        <f t="shared" si="80"/>
        <v>0.58064516129032251</v>
      </c>
      <c r="M42" s="60">
        <f t="shared" si="69"/>
        <v>48.02</v>
      </c>
      <c r="N42" s="66">
        <f t="shared" si="84"/>
        <v>0.54903225806451617</v>
      </c>
      <c r="O42" s="56">
        <v>46.5</v>
      </c>
      <c r="P42" s="112">
        <v>73.5</v>
      </c>
      <c r="Q42" s="111">
        <f t="shared" si="81"/>
        <v>0.58064516129032251</v>
      </c>
      <c r="R42" s="60">
        <f t="shared" si="70"/>
        <v>72.03</v>
      </c>
      <c r="S42" s="66">
        <f t="shared" si="57"/>
        <v>0.54903225806451617</v>
      </c>
      <c r="T42" s="75"/>
      <c r="U42" s="57" t="s">
        <v>115</v>
      </c>
      <c r="V42" s="123">
        <v>54</v>
      </c>
      <c r="W42" s="124">
        <f t="shared" si="85"/>
        <v>0.58823529411764697</v>
      </c>
      <c r="X42" s="57">
        <f t="shared" si="82"/>
        <v>51.3</v>
      </c>
      <c r="Y42" s="68">
        <f t="shared" si="86"/>
        <v>0.50882352941176467</v>
      </c>
      <c r="Z42" s="127" t="s">
        <v>116</v>
      </c>
      <c r="AA42" s="123">
        <v>81</v>
      </c>
      <c r="AB42" s="129">
        <f t="shared" si="87"/>
        <v>0.59213759213759221</v>
      </c>
      <c r="AC42" s="57">
        <f t="shared" si="59"/>
        <v>76.95</v>
      </c>
      <c r="AD42" s="68">
        <f t="shared" si="88"/>
        <v>0.51253071253071258</v>
      </c>
      <c r="AE42" s="75"/>
      <c r="AF42" s="58" t="s">
        <v>143</v>
      </c>
      <c r="AG42" s="58">
        <v>37</v>
      </c>
      <c r="AH42" s="46">
        <f t="shared" si="89"/>
        <v>0.42307692307692313</v>
      </c>
      <c r="AI42" s="58" t="s">
        <v>144</v>
      </c>
      <c r="AJ42" s="58">
        <v>53</v>
      </c>
      <c r="AK42" s="46">
        <f t="shared" si="90"/>
        <v>0.47222222222222232</v>
      </c>
      <c r="AL42" s="77"/>
      <c r="AM42" s="59">
        <v>28</v>
      </c>
      <c r="AN42" s="132">
        <f t="shared" si="23"/>
        <v>40.6</v>
      </c>
      <c r="AO42" s="133">
        <f t="shared" si="3"/>
        <v>0.44999999999999996</v>
      </c>
      <c r="AP42" s="59">
        <f t="shared" si="62"/>
        <v>38.57</v>
      </c>
      <c r="AQ42" s="69">
        <f t="shared" si="63"/>
        <v>0.37749999999999995</v>
      </c>
      <c r="AR42" s="59">
        <f t="shared" si="24"/>
        <v>40.6</v>
      </c>
      <c r="AS42" s="132">
        <f t="shared" si="25"/>
        <v>58.87</v>
      </c>
      <c r="AT42" s="135">
        <f t="shared" si="6"/>
        <v>0.44999999999999996</v>
      </c>
      <c r="AU42" s="59">
        <f t="shared" si="77"/>
        <v>55.926499999999997</v>
      </c>
      <c r="AV42" s="69">
        <f t="shared" si="78"/>
        <v>0.37749999999999995</v>
      </c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</row>
    <row r="43" spans="1:59" s="41" customFormat="1" x14ac:dyDescent="0.25">
      <c r="A43" s="150"/>
      <c r="B43" s="79" t="s">
        <v>176</v>
      </c>
      <c r="C43" s="43">
        <v>33</v>
      </c>
      <c r="D43" s="43">
        <v>53</v>
      </c>
      <c r="E43" s="53">
        <f t="shared" si="83"/>
        <v>0.60606060606060597</v>
      </c>
      <c r="F43" s="43">
        <v>49.5</v>
      </c>
      <c r="G43" s="43">
        <v>71.55</v>
      </c>
      <c r="H43" s="52">
        <f t="shared" si="79"/>
        <v>0.44545454545454533</v>
      </c>
      <c r="I43" s="75"/>
      <c r="J43" s="56" t="s">
        <v>108</v>
      </c>
      <c r="K43" s="117">
        <v>49</v>
      </c>
      <c r="L43" s="111">
        <f t="shared" si="80"/>
        <v>0.58064516129032251</v>
      </c>
      <c r="M43" s="60">
        <f t="shared" si="69"/>
        <v>48.02</v>
      </c>
      <c r="N43" s="66">
        <f t="shared" si="84"/>
        <v>0.54903225806451617</v>
      </c>
      <c r="O43" s="56">
        <v>46.5</v>
      </c>
      <c r="P43" s="112">
        <v>73.5</v>
      </c>
      <c r="Q43" s="111">
        <f t="shared" si="81"/>
        <v>0.58064516129032251</v>
      </c>
      <c r="R43" s="60">
        <f t="shared" si="70"/>
        <v>72.03</v>
      </c>
      <c r="S43" s="66">
        <f t="shared" si="57"/>
        <v>0.54903225806451617</v>
      </c>
      <c r="T43" s="75"/>
      <c r="U43" s="57" t="s">
        <v>115</v>
      </c>
      <c r="V43" s="123">
        <v>54</v>
      </c>
      <c r="W43" s="124">
        <f t="shared" si="85"/>
        <v>0.58823529411764697</v>
      </c>
      <c r="X43" s="57">
        <f t="shared" si="82"/>
        <v>51.3</v>
      </c>
      <c r="Y43" s="68">
        <f t="shared" si="86"/>
        <v>0.50882352941176467</v>
      </c>
      <c r="Z43" s="127" t="s">
        <v>116</v>
      </c>
      <c r="AA43" s="123">
        <v>81</v>
      </c>
      <c r="AB43" s="129">
        <f t="shared" si="87"/>
        <v>0.59213759213759221</v>
      </c>
      <c r="AC43" s="57">
        <f t="shared" si="59"/>
        <v>76.95</v>
      </c>
      <c r="AD43" s="68">
        <f t="shared" si="88"/>
        <v>0.51253071253071258</v>
      </c>
      <c r="AE43" s="75"/>
      <c r="AF43" s="58" t="s">
        <v>143</v>
      </c>
      <c r="AG43" s="58">
        <v>37</v>
      </c>
      <c r="AH43" s="46">
        <f t="shared" si="89"/>
        <v>0.42307692307692313</v>
      </c>
      <c r="AI43" s="58" t="s">
        <v>144</v>
      </c>
      <c r="AJ43" s="58">
        <v>53</v>
      </c>
      <c r="AK43" s="46">
        <f t="shared" si="90"/>
        <v>0.47222222222222232</v>
      </c>
      <c r="AL43" s="77"/>
      <c r="AM43" s="59">
        <v>29</v>
      </c>
      <c r="AN43" s="132">
        <f t="shared" si="23"/>
        <v>42.05</v>
      </c>
      <c r="AO43" s="133">
        <f t="shared" si="3"/>
        <v>0.44999999999999996</v>
      </c>
      <c r="AP43" s="59">
        <f t="shared" si="62"/>
        <v>39.947499999999998</v>
      </c>
      <c r="AQ43" s="69">
        <f t="shared" si="63"/>
        <v>0.37749999999999995</v>
      </c>
      <c r="AR43" s="59">
        <f t="shared" si="24"/>
        <v>42.05</v>
      </c>
      <c r="AS43" s="132">
        <f t="shared" si="25"/>
        <v>60.972499999999997</v>
      </c>
      <c r="AT43" s="135">
        <f t="shared" si="6"/>
        <v>0.44999999999999996</v>
      </c>
      <c r="AU43" s="59">
        <f t="shared" si="77"/>
        <v>57.923874999999995</v>
      </c>
      <c r="AV43" s="69">
        <f t="shared" si="78"/>
        <v>0.37749999999999995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</row>
    <row r="44" spans="1:59" s="78" customFormat="1" ht="8.4499999999999993" customHeight="1" x14ac:dyDescent="0.25">
      <c r="A44" s="72"/>
      <c r="B44" s="73"/>
      <c r="C44" s="74"/>
      <c r="D44" s="74"/>
      <c r="E44" s="75"/>
      <c r="F44" s="74"/>
      <c r="G44" s="74"/>
      <c r="H44" s="75"/>
      <c r="I44" s="75"/>
      <c r="J44" s="74"/>
      <c r="K44" s="115"/>
      <c r="L44" s="130"/>
      <c r="M44" s="74"/>
      <c r="N44" s="75"/>
      <c r="O44" s="74"/>
      <c r="P44" s="120"/>
      <c r="Q44" s="130"/>
      <c r="R44" s="75"/>
      <c r="S44" s="75"/>
      <c r="T44" s="75"/>
      <c r="U44" s="76"/>
      <c r="V44" s="119"/>
      <c r="W44" s="126"/>
      <c r="X44" s="76"/>
      <c r="Y44" s="77"/>
      <c r="Z44" s="128"/>
      <c r="AA44" s="119"/>
      <c r="AB44" s="130"/>
      <c r="AC44" s="75"/>
      <c r="AD44" s="75"/>
      <c r="AE44" s="75"/>
      <c r="AF44" s="76"/>
      <c r="AG44" s="76"/>
      <c r="AH44" s="77"/>
      <c r="AI44" s="76"/>
      <c r="AJ44" s="76"/>
      <c r="AK44" s="77"/>
      <c r="AL44" s="77"/>
      <c r="AM44" s="76"/>
      <c r="AN44" s="119"/>
      <c r="AO44" s="126"/>
      <c r="AP44" s="77"/>
      <c r="AQ44" s="77"/>
      <c r="AR44" s="76"/>
      <c r="AS44" s="119"/>
      <c r="AT44" s="130"/>
      <c r="AU44" s="75"/>
      <c r="AV44" s="75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</row>
    <row r="45" spans="1:59" s="41" customFormat="1" x14ac:dyDescent="0.25">
      <c r="A45" s="142" t="s">
        <v>154</v>
      </c>
      <c r="B45" s="79" t="s">
        <v>119</v>
      </c>
      <c r="C45" s="44">
        <v>34</v>
      </c>
      <c r="D45" s="44">
        <v>51</v>
      </c>
      <c r="E45" s="52">
        <f>(D45/C45)-1</f>
        <v>0.5</v>
      </c>
      <c r="F45" s="44">
        <v>51</v>
      </c>
      <c r="G45" s="44">
        <v>68.849999999999994</v>
      </c>
      <c r="H45" s="52">
        <f>G45/F45-1</f>
        <v>0.34999999999999987</v>
      </c>
      <c r="I45" s="75"/>
      <c r="J45" s="60" t="s">
        <v>93</v>
      </c>
      <c r="K45" s="118">
        <v>48.25</v>
      </c>
      <c r="L45" s="111">
        <f>(K45+K45)/(32+34)-1</f>
        <v>0.46212121212121215</v>
      </c>
      <c r="M45" s="60">
        <f t="shared" si="69"/>
        <v>47.284999999999997</v>
      </c>
      <c r="N45" s="66">
        <f>(M45+M45)/(32+34)-1</f>
        <v>0.43287878787878786</v>
      </c>
      <c r="O45" s="60">
        <v>49.5</v>
      </c>
      <c r="P45" s="110">
        <v>72</v>
      </c>
      <c r="Q45" s="111">
        <f t="shared" ref="Q45:Q50" si="91">P45/O45-1</f>
        <v>0.45454545454545459</v>
      </c>
      <c r="R45" s="60">
        <f t="shared" si="70"/>
        <v>70.56</v>
      </c>
      <c r="S45" s="66">
        <f t="shared" si="57"/>
        <v>0.42545454545454553</v>
      </c>
      <c r="T45" s="75"/>
      <c r="U45" s="57" t="s">
        <v>109</v>
      </c>
      <c r="V45" s="123">
        <v>51</v>
      </c>
      <c r="W45" s="124">
        <f>(V45+V45)/(33+36)-1</f>
        <v>0.47826086956521729</v>
      </c>
      <c r="X45" s="57">
        <f t="shared" ref="X45:X50" si="92">V45-(V45*0.05)</f>
        <v>48.45</v>
      </c>
      <c r="Y45" s="68">
        <f>(X45+X45)/(33+36)-1</f>
        <v>0.40434782608695663</v>
      </c>
      <c r="Z45" s="127" t="s">
        <v>110</v>
      </c>
      <c r="AA45" s="123">
        <v>76.5</v>
      </c>
      <c r="AB45" s="129">
        <f>(AA45+AA45)/(49.5+54)-1</f>
        <v>0.47826086956521729</v>
      </c>
      <c r="AC45" s="57">
        <f t="shared" si="59"/>
        <v>72.674999999999997</v>
      </c>
      <c r="AD45" s="68">
        <f>(AC45+AC45)/(49.5+54)-1</f>
        <v>0.40434782608695641</v>
      </c>
      <c r="AE45" s="75"/>
      <c r="AF45" s="58" t="s">
        <v>139</v>
      </c>
      <c r="AG45" s="58">
        <v>51</v>
      </c>
      <c r="AH45" s="46">
        <f>(AG45+AG45)/(33+36)-1</f>
        <v>0.47826086956521729</v>
      </c>
      <c r="AI45" s="58" t="s">
        <v>148</v>
      </c>
      <c r="AJ45" s="58">
        <v>74</v>
      </c>
      <c r="AK45" s="46">
        <f>(AJ45+AJ45)/(49.5+54)-1</f>
        <v>0.42995169082125595</v>
      </c>
      <c r="AL45" s="77"/>
      <c r="AM45" s="59">
        <v>35</v>
      </c>
      <c r="AN45" s="132">
        <f>SUM(AM45*1.45)</f>
        <v>50.75</v>
      </c>
      <c r="AO45" s="133">
        <f t="shared" ref="AO45:AO50" si="93">AN45/AM45-1</f>
        <v>0.44999999999999996</v>
      </c>
      <c r="AP45" s="59">
        <f t="shared" si="62"/>
        <v>48.212499999999999</v>
      </c>
      <c r="AQ45" s="69">
        <f t="shared" si="63"/>
        <v>0.37749999999999995</v>
      </c>
      <c r="AR45" s="59">
        <f t="shared" ref="AR45:AR50" si="94">SUM(AN45)</f>
        <v>50.75</v>
      </c>
      <c r="AS45" s="132">
        <f>SUM(AR45*1.45)</f>
        <v>73.587499999999991</v>
      </c>
      <c r="AT45" s="135">
        <f t="shared" ref="AT45:AT50" si="95">AS45/AR45-1</f>
        <v>0.44999999999999973</v>
      </c>
      <c r="AU45" s="59">
        <f t="shared" si="77"/>
        <v>69.908124999999998</v>
      </c>
      <c r="AV45" s="69">
        <f t="shared" si="78"/>
        <v>0.37749999999999995</v>
      </c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</row>
    <row r="46" spans="1:59" s="41" customFormat="1" x14ac:dyDescent="0.25">
      <c r="A46" s="143"/>
      <c r="B46" s="79" t="s">
        <v>120</v>
      </c>
      <c r="C46" s="44">
        <v>34</v>
      </c>
      <c r="D46" s="44">
        <v>51</v>
      </c>
      <c r="E46" s="52">
        <f t="shared" ref="E46:E50" si="96">(D46/C46)-1</f>
        <v>0.5</v>
      </c>
      <c r="F46" s="44">
        <v>51</v>
      </c>
      <c r="G46" s="44">
        <v>68.849999999999994</v>
      </c>
      <c r="H46" s="52">
        <f t="shared" ref="H46:H50" si="97">G46/F46-1</f>
        <v>0.34999999999999987</v>
      </c>
      <c r="I46" s="75"/>
      <c r="J46" s="60" t="s">
        <v>95</v>
      </c>
      <c r="K46" s="118">
        <v>48.75</v>
      </c>
      <c r="L46" s="111">
        <f>(K46+K46)/(33+35)-1</f>
        <v>0.43382352941176472</v>
      </c>
      <c r="M46" s="60">
        <f t="shared" si="69"/>
        <v>47.774999999999999</v>
      </c>
      <c r="N46" s="66">
        <f>(M46+M46)/(33+35)-1</f>
        <v>0.4051470588235293</v>
      </c>
      <c r="O46" s="60">
        <v>51</v>
      </c>
      <c r="P46" s="110">
        <v>73.5</v>
      </c>
      <c r="Q46" s="111">
        <f t="shared" si="91"/>
        <v>0.44117647058823528</v>
      </c>
      <c r="R46" s="60">
        <f t="shared" si="70"/>
        <v>72.03</v>
      </c>
      <c r="S46" s="66">
        <f t="shared" si="57"/>
        <v>0.41235294117647059</v>
      </c>
      <c r="T46" s="75"/>
      <c r="U46" s="57" t="s">
        <v>109</v>
      </c>
      <c r="V46" s="123">
        <v>51</v>
      </c>
      <c r="W46" s="124">
        <f t="shared" ref="W46:W50" si="98">(V46+V46)/(33+36)-1</f>
        <v>0.47826086956521729</v>
      </c>
      <c r="X46" s="57">
        <f t="shared" si="92"/>
        <v>48.45</v>
      </c>
      <c r="Y46" s="68">
        <f t="shared" ref="Y46:Y50" si="99">(X46+X46)/(33+36)-1</f>
        <v>0.40434782608695663</v>
      </c>
      <c r="Z46" s="127" t="s">
        <v>110</v>
      </c>
      <c r="AA46" s="123">
        <v>76.5</v>
      </c>
      <c r="AB46" s="129">
        <f t="shared" ref="AB46:AB50" si="100">(AA46+AA46)/(49.5+54)-1</f>
        <v>0.47826086956521729</v>
      </c>
      <c r="AC46" s="57">
        <f t="shared" si="59"/>
        <v>72.674999999999997</v>
      </c>
      <c r="AD46" s="68">
        <f t="shared" ref="AD46:AD50" si="101">(AC46+AC46)/(49.5+54)-1</f>
        <v>0.40434782608695641</v>
      </c>
      <c r="AE46" s="75"/>
      <c r="AF46" s="58" t="s">
        <v>139</v>
      </c>
      <c r="AG46" s="58">
        <v>51</v>
      </c>
      <c r="AH46" s="46">
        <f t="shared" ref="AH46:AH50" si="102">(AG46+AG46)/(33+36)-1</f>
        <v>0.47826086956521729</v>
      </c>
      <c r="AI46" s="58" t="s">
        <v>148</v>
      </c>
      <c r="AJ46" s="58">
        <v>74</v>
      </c>
      <c r="AK46" s="46">
        <f t="shared" ref="AK46:AK50" si="103">(AJ46+AJ46)/(49.5+54)-1</f>
        <v>0.42995169082125595</v>
      </c>
      <c r="AL46" s="77"/>
      <c r="AM46" s="59">
        <v>36</v>
      </c>
      <c r="AN46" s="132">
        <f>SUM(AM46*1.45)</f>
        <v>52.199999999999996</v>
      </c>
      <c r="AO46" s="133">
        <f t="shared" si="93"/>
        <v>0.44999999999999996</v>
      </c>
      <c r="AP46" s="59">
        <f t="shared" si="62"/>
        <v>49.589999999999996</v>
      </c>
      <c r="AQ46" s="69">
        <f t="shared" si="63"/>
        <v>0.37749999999999995</v>
      </c>
      <c r="AR46" s="59">
        <f t="shared" si="94"/>
        <v>52.199999999999996</v>
      </c>
      <c r="AS46" s="132">
        <f>SUM(AR46*1.45)</f>
        <v>75.69</v>
      </c>
      <c r="AT46" s="135">
        <f t="shared" si="95"/>
        <v>0.45000000000000018</v>
      </c>
      <c r="AU46" s="59">
        <f t="shared" si="77"/>
        <v>71.905500000000004</v>
      </c>
      <c r="AV46" s="69">
        <f t="shared" si="78"/>
        <v>0.37750000000000017</v>
      </c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</row>
    <row r="47" spans="1:59" s="41" customFormat="1" x14ac:dyDescent="0.25">
      <c r="A47" s="143"/>
      <c r="B47" s="79" t="s">
        <v>175</v>
      </c>
      <c r="C47" s="44">
        <v>34</v>
      </c>
      <c r="D47" s="44">
        <v>51</v>
      </c>
      <c r="E47" s="52">
        <f t="shared" si="96"/>
        <v>0.5</v>
      </c>
      <c r="F47" s="44">
        <v>51</v>
      </c>
      <c r="G47" s="44">
        <v>68.849999999999994</v>
      </c>
      <c r="H47" s="52">
        <f t="shared" si="97"/>
        <v>0.34999999999999987</v>
      </c>
      <c r="I47" s="75"/>
      <c r="J47" s="60" t="s">
        <v>97</v>
      </c>
      <c r="K47" s="118">
        <v>49.25</v>
      </c>
      <c r="L47" s="111">
        <f>(K47+K47)/(34+36.5)-1</f>
        <v>0.39716312056737579</v>
      </c>
      <c r="M47" s="60">
        <f t="shared" si="69"/>
        <v>48.265000000000001</v>
      </c>
      <c r="N47" s="66">
        <f>(M47+M47)/(34+36.5)-1</f>
        <v>0.36921985815602842</v>
      </c>
      <c r="O47" s="60">
        <v>52.5</v>
      </c>
      <c r="P47" s="110">
        <v>74</v>
      </c>
      <c r="Q47" s="111">
        <f t="shared" si="91"/>
        <v>0.40952380952380962</v>
      </c>
      <c r="R47" s="60">
        <f t="shared" si="70"/>
        <v>72.52</v>
      </c>
      <c r="S47" s="66">
        <f t="shared" si="57"/>
        <v>0.3813333333333333</v>
      </c>
      <c r="T47" s="75"/>
      <c r="U47" s="57" t="s">
        <v>109</v>
      </c>
      <c r="V47" s="123">
        <v>51</v>
      </c>
      <c r="W47" s="124">
        <f t="shared" si="98"/>
        <v>0.47826086956521729</v>
      </c>
      <c r="X47" s="57">
        <f t="shared" si="92"/>
        <v>48.45</v>
      </c>
      <c r="Y47" s="68">
        <f t="shared" si="99"/>
        <v>0.40434782608695663</v>
      </c>
      <c r="Z47" s="127" t="s">
        <v>110</v>
      </c>
      <c r="AA47" s="123">
        <v>76.5</v>
      </c>
      <c r="AB47" s="129">
        <f t="shared" si="100"/>
        <v>0.47826086956521729</v>
      </c>
      <c r="AC47" s="57">
        <f t="shared" si="59"/>
        <v>72.674999999999997</v>
      </c>
      <c r="AD47" s="68">
        <f t="shared" si="101"/>
        <v>0.40434782608695641</v>
      </c>
      <c r="AE47" s="75"/>
      <c r="AF47" s="58" t="s">
        <v>139</v>
      </c>
      <c r="AG47" s="58">
        <v>51</v>
      </c>
      <c r="AH47" s="46">
        <f t="shared" si="102"/>
        <v>0.47826086956521729</v>
      </c>
      <c r="AI47" s="58" t="s">
        <v>148</v>
      </c>
      <c r="AJ47" s="58">
        <v>74</v>
      </c>
      <c r="AK47" s="46">
        <f t="shared" si="103"/>
        <v>0.42995169082125595</v>
      </c>
      <c r="AL47" s="77"/>
      <c r="AM47" s="59">
        <v>37</v>
      </c>
      <c r="AN47" s="132">
        <f>SUM(AM47*1.45)</f>
        <v>53.65</v>
      </c>
      <c r="AO47" s="133">
        <f t="shared" si="93"/>
        <v>0.44999999999999996</v>
      </c>
      <c r="AP47" s="59">
        <f t="shared" si="62"/>
        <v>50.967500000000001</v>
      </c>
      <c r="AQ47" s="69">
        <f t="shared" si="63"/>
        <v>0.37749999999999995</v>
      </c>
      <c r="AR47" s="59">
        <f t="shared" si="94"/>
        <v>53.65</v>
      </c>
      <c r="AS47" s="132">
        <f>SUM(AR47*1.45)</f>
        <v>77.79249999999999</v>
      </c>
      <c r="AT47" s="135">
        <f t="shared" si="95"/>
        <v>0.44999999999999996</v>
      </c>
      <c r="AU47" s="59">
        <f t="shared" si="77"/>
        <v>73.902874999999995</v>
      </c>
      <c r="AV47" s="69">
        <f t="shared" si="78"/>
        <v>0.37749999999999995</v>
      </c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</row>
    <row r="48" spans="1:59" s="41" customFormat="1" x14ac:dyDescent="0.25">
      <c r="A48" s="143"/>
      <c r="B48" s="79" t="s">
        <v>121</v>
      </c>
      <c r="C48" s="44">
        <v>35</v>
      </c>
      <c r="D48" s="44">
        <v>52</v>
      </c>
      <c r="E48" s="52">
        <f t="shared" si="96"/>
        <v>0.48571428571428577</v>
      </c>
      <c r="F48" s="44">
        <v>52.5</v>
      </c>
      <c r="G48" s="44">
        <v>70.2</v>
      </c>
      <c r="H48" s="52">
        <f t="shared" si="97"/>
        <v>0.33714285714285719</v>
      </c>
      <c r="I48" s="75"/>
      <c r="J48" s="60" t="s">
        <v>94</v>
      </c>
      <c r="K48" s="118">
        <v>49.75</v>
      </c>
      <c r="L48" s="111">
        <f>(K48+K48)/(35+36)-1</f>
        <v>0.40140845070422526</v>
      </c>
      <c r="M48" s="60">
        <f t="shared" si="69"/>
        <v>48.755000000000003</v>
      </c>
      <c r="N48" s="66">
        <f>(M48+M48)/(35+36)-1</f>
        <v>0.37338028169014081</v>
      </c>
      <c r="O48" s="60">
        <v>53.25</v>
      </c>
      <c r="P48" s="110">
        <v>74.75</v>
      </c>
      <c r="Q48" s="111">
        <f t="shared" si="91"/>
        <v>0.40375586854460099</v>
      </c>
      <c r="R48" s="60">
        <f t="shared" si="70"/>
        <v>73.254999999999995</v>
      </c>
      <c r="S48" s="66">
        <f t="shared" si="57"/>
        <v>0.3756807511737088</v>
      </c>
      <c r="T48" s="75"/>
      <c r="U48" s="57" t="s">
        <v>109</v>
      </c>
      <c r="V48" s="123">
        <v>51</v>
      </c>
      <c r="W48" s="124">
        <f t="shared" si="98"/>
        <v>0.47826086956521729</v>
      </c>
      <c r="X48" s="57">
        <f t="shared" si="92"/>
        <v>48.45</v>
      </c>
      <c r="Y48" s="68">
        <f t="shared" si="99"/>
        <v>0.40434782608695663</v>
      </c>
      <c r="Z48" s="127" t="s">
        <v>110</v>
      </c>
      <c r="AA48" s="123">
        <v>76.5</v>
      </c>
      <c r="AB48" s="129">
        <f t="shared" si="100"/>
        <v>0.47826086956521729</v>
      </c>
      <c r="AC48" s="57">
        <f t="shared" si="59"/>
        <v>72.674999999999997</v>
      </c>
      <c r="AD48" s="68">
        <f t="shared" si="101"/>
        <v>0.40434782608695641</v>
      </c>
      <c r="AE48" s="75"/>
      <c r="AF48" s="58" t="s">
        <v>139</v>
      </c>
      <c r="AG48" s="58">
        <v>51</v>
      </c>
      <c r="AH48" s="46">
        <f t="shared" si="102"/>
        <v>0.47826086956521729</v>
      </c>
      <c r="AI48" s="58" t="s">
        <v>148</v>
      </c>
      <c r="AJ48" s="58">
        <v>74</v>
      </c>
      <c r="AK48" s="46">
        <f t="shared" si="103"/>
        <v>0.42995169082125595</v>
      </c>
      <c r="AL48" s="77"/>
      <c r="AM48" s="59">
        <v>36</v>
      </c>
      <c r="AN48" s="132">
        <f t="shared" ref="AN48:AN50" si="104">SUM(AM48*1.45)</f>
        <v>52.199999999999996</v>
      </c>
      <c r="AO48" s="133">
        <f t="shared" si="93"/>
        <v>0.44999999999999996</v>
      </c>
      <c r="AP48" s="59">
        <f t="shared" si="62"/>
        <v>49.589999999999996</v>
      </c>
      <c r="AQ48" s="69">
        <f t="shared" si="63"/>
        <v>0.37749999999999995</v>
      </c>
      <c r="AR48" s="59">
        <f t="shared" si="94"/>
        <v>52.199999999999996</v>
      </c>
      <c r="AS48" s="132">
        <f t="shared" ref="AS48:AS50" si="105">SUM(AR48*1.45)</f>
        <v>75.69</v>
      </c>
      <c r="AT48" s="135">
        <f t="shared" si="95"/>
        <v>0.45000000000000018</v>
      </c>
      <c r="AU48" s="59">
        <f t="shared" si="77"/>
        <v>71.905500000000004</v>
      </c>
      <c r="AV48" s="69">
        <f t="shared" si="78"/>
        <v>0.37750000000000017</v>
      </c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</row>
    <row r="49" spans="1:59" s="41" customFormat="1" x14ac:dyDescent="0.25">
      <c r="A49" s="143"/>
      <c r="B49" s="79" t="s">
        <v>122</v>
      </c>
      <c r="C49" s="44">
        <v>35</v>
      </c>
      <c r="D49" s="44">
        <v>52</v>
      </c>
      <c r="E49" s="52">
        <f t="shared" si="96"/>
        <v>0.48571428571428577</v>
      </c>
      <c r="F49" s="44">
        <v>52.5</v>
      </c>
      <c r="G49" s="44">
        <v>70.2</v>
      </c>
      <c r="H49" s="52">
        <f t="shared" si="97"/>
        <v>0.33714285714285719</v>
      </c>
      <c r="I49" s="75"/>
      <c r="J49" s="60" t="s">
        <v>96</v>
      </c>
      <c r="K49" s="118">
        <v>49.75</v>
      </c>
      <c r="L49" s="111">
        <f>(K49+K49)/(35.5+37)-1</f>
        <v>0.37241379310344835</v>
      </c>
      <c r="M49" s="60">
        <f t="shared" si="69"/>
        <v>48.755000000000003</v>
      </c>
      <c r="N49" s="66">
        <f>(M49+M49)/(35.5+37)-1</f>
        <v>0.34496551724137947</v>
      </c>
      <c r="O49" s="60">
        <v>54</v>
      </c>
      <c r="P49" s="110">
        <v>74.75</v>
      </c>
      <c r="Q49" s="111">
        <f t="shared" si="91"/>
        <v>0.3842592592592593</v>
      </c>
      <c r="R49" s="60">
        <f t="shared" si="70"/>
        <v>73.254999999999995</v>
      </c>
      <c r="S49" s="66">
        <f t="shared" si="57"/>
        <v>0.35657407407407393</v>
      </c>
      <c r="T49" s="75"/>
      <c r="U49" s="57" t="s">
        <v>109</v>
      </c>
      <c r="V49" s="123">
        <v>51</v>
      </c>
      <c r="W49" s="124">
        <f t="shared" si="98"/>
        <v>0.47826086956521729</v>
      </c>
      <c r="X49" s="57">
        <f t="shared" si="92"/>
        <v>48.45</v>
      </c>
      <c r="Y49" s="68">
        <f t="shared" si="99"/>
        <v>0.40434782608695663</v>
      </c>
      <c r="Z49" s="127" t="s">
        <v>110</v>
      </c>
      <c r="AA49" s="123">
        <v>76.5</v>
      </c>
      <c r="AB49" s="129">
        <f t="shared" si="100"/>
        <v>0.47826086956521729</v>
      </c>
      <c r="AC49" s="57">
        <f t="shared" si="59"/>
        <v>72.674999999999997</v>
      </c>
      <c r="AD49" s="68">
        <f t="shared" si="101"/>
        <v>0.40434782608695641</v>
      </c>
      <c r="AE49" s="75"/>
      <c r="AF49" s="58" t="s">
        <v>139</v>
      </c>
      <c r="AG49" s="58">
        <v>51</v>
      </c>
      <c r="AH49" s="46">
        <f t="shared" si="102"/>
        <v>0.47826086956521729</v>
      </c>
      <c r="AI49" s="58" t="s">
        <v>148</v>
      </c>
      <c r="AJ49" s="58">
        <v>74</v>
      </c>
      <c r="AK49" s="46">
        <f t="shared" si="103"/>
        <v>0.42995169082125595</v>
      </c>
      <c r="AL49" s="77"/>
      <c r="AM49" s="59">
        <v>37</v>
      </c>
      <c r="AN49" s="132">
        <f t="shared" si="104"/>
        <v>53.65</v>
      </c>
      <c r="AO49" s="133">
        <f t="shared" si="93"/>
        <v>0.44999999999999996</v>
      </c>
      <c r="AP49" s="59">
        <f t="shared" si="62"/>
        <v>50.967500000000001</v>
      </c>
      <c r="AQ49" s="69">
        <f t="shared" si="63"/>
        <v>0.37749999999999995</v>
      </c>
      <c r="AR49" s="59">
        <f t="shared" si="94"/>
        <v>53.65</v>
      </c>
      <c r="AS49" s="132">
        <f t="shared" si="105"/>
        <v>77.79249999999999</v>
      </c>
      <c r="AT49" s="135">
        <f t="shared" si="95"/>
        <v>0.44999999999999996</v>
      </c>
      <c r="AU49" s="59">
        <f t="shared" si="77"/>
        <v>73.902874999999995</v>
      </c>
      <c r="AV49" s="69">
        <f t="shared" si="78"/>
        <v>0.37749999999999995</v>
      </c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</row>
    <row r="50" spans="1:59" s="41" customFormat="1" x14ac:dyDescent="0.25">
      <c r="A50" s="144"/>
      <c r="B50" s="79" t="s">
        <v>176</v>
      </c>
      <c r="C50" s="44">
        <v>35</v>
      </c>
      <c r="D50" s="44">
        <v>52</v>
      </c>
      <c r="E50" s="52">
        <f t="shared" si="96"/>
        <v>0.48571428571428577</v>
      </c>
      <c r="F50" s="44">
        <v>52.5</v>
      </c>
      <c r="G50" s="44">
        <v>70.2</v>
      </c>
      <c r="H50" s="52">
        <f t="shared" si="97"/>
        <v>0.33714285714285719</v>
      </c>
      <c r="I50" s="75"/>
      <c r="J50" s="60" t="s">
        <v>98</v>
      </c>
      <c r="K50" s="118">
        <v>50</v>
      </c>
      <c r="L50" s="111">
        <f>(K50+K50)/(36.5+38.5)-1</f>
        <v>0.33333333333333326</v>
      </c>
      <c r="M50" s="60">
        <f t="shared" si="69"/>
        <v>49</v>
      </c>
      <c r="N50" s="66">
        <f>(M50+M50)/(36.5+38.5)-1</f>
        <v>0.30666666666666664</v>
      </c>
      <c r="O50" s="60">
        <v>55.5</v>
      </c>
      <c r="P50" s="110">
        <v>75</v>
      </c>
      <c r="Q50" s="111">
        <f t="shared" si="91"/>
        <v>0.35135135135135132</v>
      </c>
      <c r="R50" s="60">
        <f t="shared" si="70"/>
        <v>73.5</v>
      </c>
      <c r="S50" s="66">
        <f t="shared" si="57"/>
        <v>0.32432432432432434</v>
      </c>
      <c r="T50" s="75"/>
      <c r="U50" s="57" t="s">
        <v>109</v>
      </c>
      <c r="V50" s="123">
        <v>51</v>
      </c>
      <c r="W50" s="124">
        <f t="shared" si="98"/>
        <v>0.47826086956521729</v>
      </c>
      <c r="X50" s="57">
        <f t="shared" si="92"/>
        <v>48.45</v>
      </c>
      <c r="Y50" s="68">
        <f t="shared" si="99"/>
        <v>0.40434782608695663</v>
      </c>
      <c r="Z50" s="127" t="s">
        <v>110</v>
      </c>
      <c r="AA50" s="123">
        <v>76.5</v>
      </c>
      <c r="AB50" s="129">
        <f t="shared" si="100"/>
        <v>0.47826086956521729</v>
      </c>
      <c r="AC50" s="57">
        <f t="shared" si="59"/>
        <v>72.674999999999997</v>
      </c>
      <c r="AD50" s="68">
        <f t="shared" si="101"/>
        <v>0.40434782608695641</v>
      </c>
      <c r="AE50" s="75"/>
      <c r="AF50" s="58" t="s">
        <v>139</v>
      </c>
      <c r="AG50" s="58">
        <v>51</v>
      </c>
      <c r="AH50" s="46">
        <f t="shared" si="102"/>
        <v>0.47826086956521729</v>
      </c>
      <c r="AI50" s="58" t="s">
        <v>148</v>
      </c>
      <c r="AJ50" s="58">
        <v>74</v>
      </c>
      <c r="AK50" s="46">
        <f t="shared" si="103"/>
        <v>0.42995169082125595</v>
      </c>
      <c r="AL50" s="77"/>
      <c r="AM50" s="59">
        <v>38</v>
      </c>
      <c r="AN50" s="132">
        <f t="shared" si="104"/>
        <v>55.1</v>
      </c>
      <c r="AO50" s="133">
        <f t="shared" si="93"/>
        <v>0.44999999999999996</v>
      </c>
      <c r="AP50" s="59">
        <f t="shared" si="62"/>
        <v>52.344999999999999</v>
      </c>
      <c r="AQ50" s="69">
        <f t="shared" si="63"/>
        <v>0.37749999999999995</v>
      </c>
      <c r="AR50" s="59">
        <f t="shared" si="94"/>
        <v>55.1</v>
      </c>
      <c r="AS50" s="132">
        <f t="shared" si="105"/>
        <v>79.894999999999996</v>
      </c>
      <c r="AT50" s="135">
        <f t="shared" si="95"/>
        <v>0.44999999999999996</v>
      </c>
      <c r="AU50" s="59">
        <f t="shared" si="77"/>
        <v>75.90025</v>
      </c>
      <c r="AV50" s="69">
        <f t="shared" si="78"/>
        <v>0.37749999999999995</v>
      </c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</row>
    <row r="51" spans="1:59" s="78" customFormat="1" ht="8.4499999999999993" customHeight="1" x14ac:dyDescent="0.25">
      <c r="A51" s="72"/>
      <c r="B51" s="73"/>
      <c r="C51" s="74"/>
      <c r="D51" s="74"/>
      <c r="E51" s="75"/>
      <c r="F51" s="74"/>
      <c r="G51" s="74"/>
      <c r="H51" s="75"/>
      <c r="I51" s="75"/>
      <c r="J51" s="74"/>
      <c r="K51" s="115"/>
      <c r="L51" s="130"/>
      <c r="M51" s="74"/>
      <c r="N51" s="75"/>
      <c r="O51" s="74"/>
      <c r="P51" s="120"/>
      <c r="Q51" s="130"/>
      <c r="R51" s="75"/>
      <c r="S51" s="75"/>
      <c r="T51" s="75"/>
      <c r="U51" s="76"/>
      <c r="V51" s="119"/>
      <c r="W51" s="126"/>
      <c r="X51" s="76"/>
      <c r="Y51" s="77"/>
      <c r="Z51" s="128"/>
      <c r="AA51" s="119"/>
      <c r="AB51" s="130"/>
      <c r="AC51" s="75"/>
      <c r="AD51" s="75"/>
      <c r="AE51" s="75"/>
      <c r="AF51" s="76"/>
      <c r="AG51" s="76"/>
      <c r="AH51" s="77"/>
      <c r="AI51" s="76"/>
      <c r="AJ51" s="76"/>
      <c r="AK51" s="77"/>
      <c r="AL51" s="77"/>
      <c r="AM51" s="76"/>
      <c r="AN51" s="119"/>
      <c r="AO51" s="126"/>
      <c r="AP51" s="77"/>
      <c r="AQ51" s="77"/>
      <c r="AR51" s="76"/>
      <c r="AS51" s="119"/>
      <c r="AT51" s="130"/>
      <c r="AU51" s="75"/>
      <c r="AV51" s="75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</row>
    <row r="52" spans="1:59" s="41" customFormat="1" x14ac:dyDescent="0.25">
      <c r="A52" s="81" t="s">
        <v>1</v>
      </c>
      <c r="B52" s="96" t="s">
        <v>90</v>
      </c>
      <c r="C52" s="43">
        <v>34</v>
      </c>
      <c r="D52" s="43">
        <v>54</v>
      </c>
      <c r="E52" s="53">
        <f>D52/C52-1</f>
        <v>0.58823529411764697</v>
      </c>
      <c r="F52" s="43">
        <v>51</v>
      </c>
      <c r="G52" s="43">
        <v>72.900000000000006</v>
      </c>
      <c r="H52" s="52">
        <f>G52/F52-1</f>
        <v>0.42941176470588238</v>
      </c>
      <c r="I52" s="75"/>
      <c r="J52" s="56" t="s">
        <v>106</v>
      </c>
      <c r="K52" s="117">
        <v>55</v>
      </c>
      <c r="L52" s="111">
        <f>(K52+K52)/(35+37)-1</f>
        <v>0.52777777777777768</v>
      </c>
      <c r="M52" s="60">
        <f t="shared" si="69"/>
        <v>53.9</v>
      </c>
      <c r="N52" s="66">
        <f>(M52+M52)/(35+37)-1</f>
        <v>0.49722222222222223</v>
      </c>
      <c r="O52" s="56">
        <v>54</v>
      </c>
      <c r="P52" s="112">
        <v>82.5</v>
      </c>
      <c r="Q52" s="111">
        <f>P52/O52-1</f>
        <v>0.52777777777777768</v>
      </c>
      <c r="R52" s="60">
        <f t="shared" si="70"/>
        <v>80.849999999999994</v>
      </c>
      <c r="S52" s="66">
        <f t="shared" si="57"/>
        <v>0.49722222222222201</v>
      </c>
      <c r="T52" s="75"/>
      <c r="U52" s="57" t="s">
        <v>115</v>
      </c>
      <c r="V52" s="123">
        <v>54</v>
      </c>
      <c r="W52" s="124">
        <f>(V52+V52)/(33+35)-1</f>
        <v>0.58823529411764697</v>
      </c>
      <c r="X52" s="57">
        <f t="shared" ref="X52" si="106">V52-(V52*0.05)</f>
        <v>51.3</v>
      </c>
      <c r="Y52" s="68">
        <f t="shared" ref="Y52" si="107">(X52+X52)/(33+35)-1</f>
        <v>0.50882352941176467</v>
      </c>
      <c r="Z52" s="127" t="s">
        <v>116</v>
      </c>
      <c r="AA52" s="123">
        <v>81</v>
      </c>
      <c r="AB52" s="129">
        <f>(AA52+AA52)/(49.25+52.5)-1</f>
        <v>0.59213759213759221</v>
      </c>
      <c r="AC52" s="57">
        <f t="shared" si="59"/>
        <v>76.95</v>
      </c>
      <c r="AD52" s="68">
        <f>(AC52+AC52)/(49.5+52.5)-1</f>
        <v>0.50882352941176467</v>
      </c>
      <c r="AE52" s="75"/>
      <c r="AF52" s="45" t="s">
        <v>149</v>
      </c>
      <c r="AG52" s="58">
        <v>52</v>
      </c>
      <c r="AH52" s="46">
        <f>(AG52+AG52)/(25+35)-1</f>
        <v>0.73333333333333339</v>
      </c>
      <c r="AI52" s="45" t="s">
        <v>150</v>
      </c>
      <c r="AJ52" s="42">
        <v>81</v>
      </c>
      <c r="AK52" s="46">
        <f>(AJ52+AJ52)/(42+52.5)-1</f>
        <v>0.71428571428571419</v>
      </c>
      <c r="AL52" s="77"/>
      <c r="AM52" s="59">
        <v>33</v>
      </c>
      <c r="AN52" s="132">
        <f>SUM(AM52*1.45)</f>
        <v>47.85</v>
      </c>
      <c r="AO52" s="133">
        <f>AN52/AM52-1</f>
        <v>0.44999999999999996</v>
      </c>
      <c r="AP52" s="59">
        <f t="shared" si="62"/>
        <v>45.457500000000003</v>
      </c>
      <c r="AQ52" s="69">
        <f t="shared" si="63"/>
        <v>0.37750000000000017</v>
      </c>
      <c r="AR52" s="59">
        <f>SUM(AN52)</f>
        <v>47.85</v>
      </c>
      <c r="AS52" s="132">
        <f>SUM(AR52*1.45)</f>
        <v>69.382499999999993</v>
      </c>
      <c r="AT52" s="135">
        <f>AS52/AR52-1</f>
        <v>0.44999999999999973</v>
      </c>
      <c r="AU52" s="59">
        <f t="shared" si="77"/>
        <v>65.913374999999988</v>
      </c>
      <c r="AV52" s="69">
        <f t="shared" si="78"/>
        <v>0.37749999999999972</v>
      </c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</row>
    <row r="53" spans="1:59" s="78" customFormat="1" ht="8.4499999999999993" customHeight="1" x14ac:dyDescent="0.25">
      <c r="A53" s="93"/>
      <c r="B53" s="73"/>
      <c r="C53" s="76"/>
      <c r="D53" s="76"/>
      <c r="E53" s="77"/>
      <c r="F53" s="76"/>
      <c r="G53" s="76"/>
      <c r="H53" s="75"/>
      <c r="I53" s="75"/>
      <c r="J53" s="76"/>
      <c r="K53" s="114"/>
      <c r="L53" s="130"/>
      <c r="M53" s="74"/>
      <c r="N53" s="75"/>
      <c r="O53" s="76"/>
      <c r="P53" s="76"/>
      <c r="Q53" s="75"/>
      <c r="R53" s="74"/>
      <c r="S53" s="75"/>
      <c r="T53" s="75"/>
      <c r="U53" s="76"/>
      <c r="V53" s="76"/>
      <c r="W53" s="77"/>
      <c r="X53" s="76"/>
      <c r="Y53" s="77"/>
      <c r="Z53" s="76"/>
      <c r="AA53" s="76"/>
      <c r="AB53" s="75"/>
      <c r="AC53" s="75"/>
      <c r="AD53" s="75"/>
      <c r="AE53" s="75"/>
      <c r="AF53" s="76"/>
      <c r="AG53" s="76"/>
      <c r="AH53" s="77"/>
      <c r="AI53" s="76"/>
      <c r="AJ53" s="76"/>
      <c r="AK53" s="77"/>
      <c r="AL53" s="77"/>
      <c r="AM53" s="76"/>
      <c r="AN53" s="76"/>
      <c r="AO53" s="77"/>
      <c r="AP53" s="76"/>
      <c r="AQ53" s="77"/>
      <c r="AR53" s="76"/>
      <c r="AS53" s="76"/>
      <c r="AT53" s="75"/>
      <c r="AU53" s="75"/>
      <c r="AV53" s="75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</row>
  </sheetData>
  <mergeCells count="31">
    <mergeCell ref="AM18:AV18"/>
    <mergeCell ref="AM22:AV22"/>
    <mergeCell ref="AM23:AV23"/>
    <mergeCell ref="AM25:AV25"/>
    <mergeCell ref="AM24:AV24"/>
    <mergeCell ref="AM27:AV27"/>
    <mergeCell ref="AM29:AV29"/>
    <mergeCell ref="AF2:AK2"/>
    <mergeCell ref="A1:B2"/>
    <mergeCell ref="C2:H2"/>
    <mergeCell ref="A4:A9"/>
    <mergeCell ref="A11:A16"/>
    <mergeCell ref="U18:AD18"/>
    <mergeCell ref="U22:AD22"/>
    <mergeCell ref="U23:AD23"/>
    <mergeCell ref="U24:AD24"/>
    <mergeCell ref="U25:AD25"/>
    <mergeCell ref="U27:AD27"/>
    <mergeCell ref="AF29:AK29"/>
    <mergeCell ref="U29:AD29"/>
    <mergeCell ref="AM2:AV2"/>
    <mergeCell ref="J2:S2"/>
    <mergeCell ref="U2:AD2"/>
    <mergeCell ref="A45:A50"/>
    <mergeCell ref="A31:A36"/>
    <mergeCell ref="C22:H22"/>
    <mergeCell ref="C23:H23"/>
    <mergeCell ref="C24:H24"/>
    <mergeCell ref="C25:H25"/>
    <mergeCell ref="A38:A43"/>
    <mergeCell ref="U20:AD20"/>
  </mergeCells>
  <pageMargins left="0.2" right="0.2" top="0.25" bottom="0.25" header="0.3" footer="0.3"/>
  <pageSetup scale="77" fitToWidth="0" orientation="landscape" r:id="rId1"/>
  <headerFooter>
    <oddFooter>&amp;RGSS14113-TEMNURSELTC
 Pricing Spreadsheet AD 9</oddFooter>
  </headerFooter>
  <colBreaks count="4" manualBreakCount="4">
    <brk id="8" max="1048575" man="1"/>
    <brk id="19" max="1048575" man="1"/>
    <brk id="30" max="1048575" man="1"/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zoomScale="85" zoomScaleNormal="85" workbookViewId="0">
      <pane xSplit="2" ySplit="3" topLeftCell="AC4" activePane="bottomRight" state="frozen"/>
      <selection pane="topRight" activeCell="C1" sqref="C1"/>
      <selection pane="bottomLeft" activeCell="A4" sqref="A4"/>
      <selection pane="bottomRight" sqref="A1:B2"/>
    </sheetView>
  </sheetViews>
  <sheetFormatPr defaultColWidth="8.85546875" defaultRowHeight="15" x14ac:dyDescent="0.25"/>
  <cols>
    <col min="1" max="1" width="29.85546875" style="64" bestFit="1" customWidth="1"/>
    <col min="2" max="2" width="21.140625" style="64" customWidth="1"/>
    <col min="3" max="4" width="16.7109375" style="51" customWidth="1"/>
    <col min="5" max="5" width="16.7109375" style="54" customWidth="1"/>
    <col min="6" max="7" width="16.7109375" style="51" customWidth="1"/>
    <col min="8" max="8" width="16.7109375" style="54" customWidth="1"/>
    <col min="9" max="9" width="1" style="51" customWidth="1"/>
    <col min="10" max="10" width="16.140625" style="51" customWidth="1"/>
    <col min="11" max="12" width="16.140625" style="54" customWidth="1"/>
    <col min="13" max="15" width="16.140625" style="51" customWidth="1"/>
    <col min="16" max="16" width="16.140625" style="54" customWidth="1"/>
    <col min="17" max="18" width="16.28515625" style="50" customWidth="1"/>
    <col min="19" max="19" width="16.28515625" style="55" customWidth="1"/>
    <col min="20" max="20" width="1" style="50" customWidth="1"/>
    <col min="21" max="21" width="16.28515625" style="55" customWidth="1"/>
    <col min="22" max="25" width="16.28515625" style="50" customWidth="1"/>
    <col min="26" max="26" width="16.28515625" style="55" customWidth="1"/>
    <col min="27" max="30" width="16.42578125" style="50" customWidth="1"/>
    <col min="31" max="31" width="1" style="55" customWidth="1"/>
    <col min="32" max="33" width="16.42578125" style="50" customWidth="1"/>
    <col min="34" max="34" width="16.42578125" style="55" customWidth="1"/>
    <col min="35" max="36" width="15.7109375" style="50" customWidth="1"/>
    <col min="37" max="37" width="15.7109375" style="55" customWidth="1"/>
    <col min="38" max="38" width="1" style="50" customWidth="1"/>
    <col min="39" max="39" width="16" style="50" customWidth="1"/>
    <col min="40" max="40" width="16" style="54" customWidth="1"/>
    <col min="41" max="41" width="16" style="64" customWidth="1"/>
    <col min="42" max="42" width="16" style="131" customWidth="1"/>
    <col min="43" max="48" width="16" style="64" customWidth="1"/>
    <col min="49" max="59" width="8.85546875" style="65"/>
    <col min="60" max="16384" width="8.85546875" style="64"/>
  </cols>
  <sheetData>
    <row r="1" spans="1:59" s="41" customFormat="1" ht="15.75" thickBot="1" x14ac:dyDescent="0.3">
      <c r="A1" s="159" t="s">
        <v>152</v>
      </c>
      <c r="B1" s="159"/>
      <c r="C1" s="51"/>
      <c r="D1" s="51"/>
      <c r="E1" s="54"/>
      <c r="F1" s="51"/>
      <c r="G1" s="51"/>
      <c r="H1" s="54"/>
      <c r="I1" s="51"/>
      <c r="J1" s="51"/>
      <c r="K1" s="54"/>
      <c r="L1" s="54"/>
      <c r="M1" s="51"/>
      <c r="N1" s="51"/>
      <c r="O1" s="51"/>
      <c r="P1" s="54"/>
      <c r="Q1" s="50"/>
      <c r="R1" s="50"/>
      <c r="S1" s="55"/>
      <c r="T1" s="50"/>
      <c r="U1" s="55"/>
      <c r="V1" s="50"/>
      <c r="W1" s="50"/>
      <c r="X1" s="50"/>
      <c r="Y1" s="50"/>
      <c r="Z1" s="55"/>
      <c r="AA1" s="50"/>
      <c r="AB1" s="50"/>
      <c r="AC1" s="50"/>
      <c r="AD1" s="50"/>
      <c r="AE1" s="55"/>
      <c r="AF1" s="50"/>
      <c r="AG1" s="50"/>
      <c r="AH1" s="55"/>
      <c r="AI1" s="50"/>
      <c r="AJ1" s="50"/>
      <c r="AK1" s="55"/>
      <c r="AL1" s="50"/>
      <c r="AM1" s="50"/>
      <c r="AN1" s="54"/>
      <c r="AP1" s="50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</row>
    <row r="2" spans="1:59" s="41" customFormat="1" ht="15.75" thickBot="1" x14ac:dyDescent="0.3">
      <c r="A2" s="160"/>
      <c r="B2" s="160"/>
      <c r="C2" s="161" t="s">
        <v>52</v>
      </c>
      <c r="D2" s="162"/>
      <c r="E2" s="162"/>
      <c r="F2" s="162"/>
      <c r="G2" s="162"/>
      <c r="H2" s="163"/>
      <c r="I2" s="88"/>
      <c r="J2" s="138" t="s">
        <v>62</v>
      </c>
      <c r="K2" s="139"/>
      <c r="L2" s="139"/>
      <c r="M2" s="139"/>
      <c r="N2" s="139"/>
      <c r="O2" s="139"/>
      <c r="P2" s="139"/>
      <c r="Q2" s="139"/>
      <c r="R2" s="139"/>
      <c r="S2" s="139"/>
      <c r="T2" s="94"/>
      <c r="U2" s="140" t="s">
        <v>63</v>
      </c>
      <c r="V2" s="141"/>
      <c r="W2" s="141"/>
      <c r="X2" s="141"/>
      <c r="Y2" s="141"/>
      <c r="Z2" s="141"/>
      <c r="AA2" s="141"/>
      <c r="AB2" s="141"/>
      <c r="AC2" s="141"/>
      <c r="AD2" s="141"/>
      <c r="AE2" s="94"/>
      <c r="AF2" s="156" t="s">
        <v>64</v>
      </c>
      <c r="AG2" s="157"/>
      <c r="AH2" s="157"/>
      <c r="AI2" s="157"/>
      <c r="AJ2" s="157"/>
      <c r="AK2" s="158"/>
      <c r="AL2" s="94"/>
      <c r="AM2" s="168" t="s">
        <v>65</v>
      </c>
      <c r="AN2" s="169"/>
      <c r="AO2" s="169"/>
      <c r="AP2" s="169"/>
      <c r="AQ2" s="169"/>
      <c r="AR2" s="169"/>
      <c r="AS2" s="169"/>
      <c r="AT2" s="169"/>
      <c r="AU2" s="169"/>
      <c r="AV2" s="170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</row>
    <row r="3" spans="1:59" s="71" customFormat="1" ht="71.45" customHeight="1" x14ac:dyDescent="0.25">
      <c r="A3" s="84" t="s">
        <v>158</v>
      </c>
      <c r="B3" s="84" t="s">
        <v>0</v>
      </c>
      <c r="C3" s="85" t="s">
        <v>133</v>
      </c>
      <c r="D3" s="85" t="s">
        <v>134</v>
      </c>
      <c r="E3" s="86" t="s">
        <v>135</v>
      </c>
      <c r="F3" s="85" t="s">
        <v>136</v>
      </c>
      <c r="G3" s="85" t="s">
        <v>137</v>
      </c>
      <c r="H3" s="86" t="s">
        <v>138</v>
      </c>
      <c r="I3" s="89"/>
      <c r="J3" s="85" t="s">
        <v>133</v>
      </c>
      <c r="K3" s="85" t="s">
        <v>186</v>
      </c>
      <c r="L3" s="86" t="s">
        <v>187</v>
      </c>
      <c r="M3" s="85" t="s">
        <v>177</v>
      </c>
      <c r="N3" s="86" t="s">
        <v>178</v>
      </c>
      <c r="O3" s="85" t="s">
        <v>136</v>
      </c>
      <c r="P3" s="85" t="s">
        <v>185</v>
      </c>
      <c r="Q3" s="86" t="s">
        <v>184</v>
      </c>
      <c r="R3" s="85" t="s">
        <v>179</v>
      </c>
      <c r="S3" s="86" t="s">
        <v>180</v>
      </c>
      <c r="T3" s="89"/>
      <c r="U3" s="85" t="s">
        <v>133</v>
      </c>
      <c r="V3" s="85" t="s">
        <v>186</v>
      </c>
      <c r="W3" s="86" t="s">
        <v>187</v>
      </c>
      <c r="X3" s="85" t="s">
        <v>177</v>
      </c>
      <c r="Y3" s="86" t="s">
        <v>178</v>
      </c>
      <c r="Z3" s="85" t="s">
        <v>136</v>
      </c>
      <c r="AA3" s="85" t="s">
        <v>185</v>
      </c>
      <c r="AB3" s="86" t="s">
        <v>184</v>
      </c>
      <c r="AC3" s="86" t="s">
        <v>179</v>
      </c>
      <c r="AD3" s="86" t="s">
        <v>180</v>
      </c>
      <c r="AE3" s="89"/>
      <c r="AF3" s="85" t="s">
        <v>133</v>
      </c>
      <c r="AG3" s="85" t="s">
        <v>134</v>
      </c>
      <c r="AH3" s="86" t="s">
        <v>135</v>
      </c>
      <c r="AI3" s="85" t="s">
        <v>136</v>
      </c>
      <c r="AJ3" s="85" t="s">
        <v>137</v>
      </c>
      <c r="AK3" s="86" t="s">
        <v>138</v>
      </c>
      <c r="AL3" s="89"/>
      <c r="AM3" s="85" t="s">
        <v>133</v>
      </c>
      <c r="AN3" s="85" t="s">
        <v>186</v>
      </c>
      <c r="AO3" s="86" t="s">
        <v>187</v>
      </c>
      <c r="AP3" s="85" t="s">
        <v>177</v>
      </c>
      <c r="AQ3" s="86" t="s">
        <v>178</v>
      </c>
      <c r="AR3" s="85" t="s">
        <v>136</v>
      </c>
      <c r="AS3" s="85" t="s">
        <v>185</v>
      </c>
      <c r="AT3" s="86" t="s">
        <v>184</v>
      </c>
      <c r="AU3" s="86" t="s">
        <v>179</v>
      </c>
      <c r="AV3" s="86" t="s">
        <v>180</v>
      </c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</row>
    <row r="4" spans="1:59" s="41" customFormat="1" x14ac:dyDescent="0.25">
      <c r="A4" s="164" t="s">
        <v>157</v>
      </c>
      <c r="B4" s="79" t="s">
        <v>119</v>
      </c>
      <c r="C4" s="109" t="s">
        <v>123</v>
      </c>
      <c r="D4" s="109" t="s">
        <v>53</v>
      </c>
      <c r="E4" s="53">
        <f>(83+85)/(52+54)-1</f>
        <v>0.58490566037735858</v>
      </c>
      <c r="F4" s="109" t="s">
        <v>127</v>
      </c>
      <c r="G4" s="109" t="s">
        <v>57</v>
      </c>
      <c r="H4" s="53">
        <f>(112.05+114.75)/(78+81)-1</f>
        <v>0.42641509433962277</v>
      </c>
      <c r="I4" s="77"/>
      <c r="J4" s="56" t="s">
        <v>107</v>
      </c>
      <c r="K4" s="112">
        <v>65</v>
      </c>
      <c r="L4" s="111">
        <f t="shared" ref="L4:L9" si="0">(K4+K4)/(41+43)-1</f>
        <v>0.54761904761904767</v>
      </c>
      <c r="M4" s="60">
        <f>K4-(K4*0.02)</f>
        <v>63.7</v>
      </c>
      <c r="N4" s="66">
        <f>(M4+M4)/(41+43)-1</f>
        <v>0.51666666666666683</v>
      </c>
      <c r="O4" s="56">
        <v>63</v>
      </c>
      <c r="P4" s="112">
        <v>97.5</v>
      </c>
      <c r="Q4" s="111">
        <f t="shared" ref="Q4:Q9" si="1">P4/O4-1</f>
        <v>0.54761904761904767</v>
      </c>
      <c r="R4" s="60">
        <f>P4-(P4*0.02)</f>
        <v>95.55</v>
      </c>
      <c r="S4" s="66">
        <f>R4/O4-1</f>
        <v>0.51666666666666661</v>
      </c>
      <c r="T4" s="75"/>
      <c r="U4" s="57" t="s">
        <v>117</v>
      </c>
      <c r="V4" s="123">
        <v>82</v>
      </c>
      <c r="W4" s="124">
        <f>(V4+V4)/(60+62)-1</f>
        <v>0.34426229508196715</v>
      </c>
      <c r="X4" s="57">
        <f>V4-(V4*0.05)</f>
        <v>77.900000000000006</v>
      </c>
      <c r="Y4" s="68">
        <f>(X4+X4)/(60+62)-1</f>
        <v>0.27704918032786896</v>
      </c>
      <c r="Z4" s="127" t="s">
        <v>118</v>
      </c>
      <c r="AA4" s="57">
        <v>123</v>
      </c>
      <c r="AB4" s="129">
        <f>(AA4+AA4)/(90+93)-1</f>
        <v>0.34426229508196715</v>
      </c>
      <c r="AC4" s="57">
        <f>AA4-(AA4*0.05)</f>
        <v>116.85</v>
      </c>
      <c r="AD4" s="68">
        <f>(AC4+AC4)/(90+93)-1</f>
        <v>0.27704918032786874</v>
      </c>
      <c r="AE4" s="75"/>
      <c r="AF4" s="58" t="s">
        <v>142</v>
      </c>
      <c r="AG4" s="58">
        <v>71</v>
      </c>
      <c r="AH4" s="46">
        <f>(AG4+AG4)/(45+50)-1</f>
        <v>0.49473684210526314</v>
      </c>
      <c r="AI4" s="58" t="s">
        <v>145</v>
      </c>
      <c r="AJ4" s="58">
        <v>104</v>
      </c>
      <c r="AK4" s="46">
        <f>(AJ4+AJ4)/(63+69)-1</f>
        <v>0.57575757575757569</v>
      </c>
      <c r="AL4" s="77"/>
      <c r="AM4" s="59">
        <v>45</v>
      </c>
      <c r="AN4" s="132">
        <f t="shared" ref="AN4" si="2">SUM(AM4*1.45)</f>
        <v>65.25</v>
      </c>
      <c r="AO4" s="133">
        <f t="shared" ref="AO4:AO43" si="3">AN4/AM4-1</f>
        <v>0.44999999999999996</v>
      </c>
      <c r="AP4" s="59">
        <f>AN4-(AN4*0.05)</f>
        <v>61.987499999999997</v>
      </c>
      <c r="AQ4" s="69">
        <f>AP4/AM4-1</f>
        <v>0.37749999999999995</v>
      </c>
      <c r="AR4" s="59">
        <f t="shared" ref="AR4" si="4">SUM(AN4)</f>
        <v>65.25</v>
      </c>
      <c r="AS4" s="132">
        <f t="shared" ref="AS4" si="5">SUM(AR4*1.45)</f>
        <v>94.612499999999997</v>
      </c>
      <c r="AT4" s="135">
        <f t="shared" ref="AT4:AT43" si="6">AS4/AR4-1</f>
        <v>0.44999999999999996</v>
      </c>
      <c r="AU4" s="59">
        <f>AS4-(AS4*0.05)</f>
        <v>89.881874999999994</v>
      </c>
      <c r="AV4" s="69">
        <f>AU4/AR4-1</f>
        <v>0.37749999999999995</v>
      </c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</row>
    <row r="5" spans="1:59" s="41" customFormat="1" x14ac:dyDescent="0.25">
      <c r="A5" s="149"/>
      <c r="B5" s="79" t="s">
        <v>120</v>
      </c>
      <c r="C5" s="109" t="s">
        <v>124</v>
      </c>
      <c r="D5" s="109" t="s">
        <v>54</v>
      </c>
      <c r="E5" s="53">
        <f>(87+85)/(54+56)-1</f>
        <v>0.56363636363636371</v>
      </c>
      <c r="F5" s="109" t="s">
        <v>128</v>
      </c>
      <c r="G5" s="109" t="s">
        <v>58</v>
      </c>
      <c r="H5" s="53">
        <f>(114.75+117.45)/(81+84)-1</f>
        <v>0.40727272727272723</v>
      </c>
      <c r="I5" s="77"/>
      <c r="J5" s="56" t="s">
        <v>107</v>
      </c>
      <c r="K5" s="112">
        <v>65</v>
      </c>
      <c r="L5" s="111">
        <f t="shared" si="0"/>
        <v>0.54761904761904767</v>
      </c>
      <c r="M5" s="60">
        <f t="shared" ref="M5:M9" si="7">K5-(K5*0.02)</f>
        <v>63.7</v>
      </c>
      <c r="N5" s="66">
        <f t="shared" ref="N5:N9" si="8">(M5+M5)/(41+43)-1</f>
        <v>0.51666666666666683</v>
      </c>
      <c r="O5" s="56">
        <v>63</v>
      </c>
      <c r="P5" s="112">
        <v>97.5</v>
      </c>
      <c r="Q5" s="111">
        <f t="shared" si="1"/>
        <v>0.54761904761904767</v>
      </c>
      <c r="R5" s="60">
        <f t="shared" ref="R5:R16" si="9">P5-(P5*0.02)</f>
        <v>95.55</v>
      </c>
      <c r="S5" s="66">
        <f t="shared" ref="S5:S16" si="10">R5/O5-1</f>
        <v>0.51666666666666661</v>
      </c>
      <c r="T5" s="75"/>
      <c r="U5" s="57" t="s">
        <v>117</v>
      </c>
      <c r="V5" s="123">
        <v>82</v>
      </c>
      <c r="W5" s="124">
        <f t="shared" ref="W5:W9" si="11">(V5+V5)/(60+62)-1</f>
        <v>0.34426229508196715</v>
      </c>
      <c r="X5" s="57">
        <f t="shared" ref="X5:X16" si="12">V5-(V5*0.05)</f>
        <v>77.900000000000006</v>
      </c>
      <c r="Y5" s="68">
        <f t="shared" ref="Y5:Y9" si="13">(X5+X5)/(60+62)-1</f>
        <v>0.27704918032786896</v>
      </c>
      <c r="Z5" s="127" t="s">
        <v>118</v>
      </c>
      <c r="AA5" s="123">
        <v>123</v>
      </c>
      <c r="AB5" s="129">
        <f t="shared" ref="AB5:AB9" si="14">(AA5+AA5)/(90+93)-1</f>
        <v>0.34426229508196715</v>
      </c>
      <c r="AC5" s="57">
        <f t="shared" ref="AC5:AC16" si="15">AA5-(AA5*0.05)</f>
        <v>116.85</v>
      </c>
      <c r="AD5" s="68">
        <f t="shared" ref="AD5:AD9" si="16">(AC5+AC5)/(90+93)-1</f>
        <v>0.27704918032786874</v>
      </c>
      <c r="AE5" s="75"/>
      <c r="AF5" s="58" t="s">
        <v>142</v>
      </c>
      <c r="AG5" s="58">
        <v>71</v>
      </c>
      <c r="AH5" s="46">
        <f t="shared" ref="AH5:AH9" si="17">(AG5+AG5)/(45+50)-1</f>
        <v>0.49473684210526314</v>
      </c>
      <c r="AI5" s="58" t="s">
        <v>145</v>
      </c>
      <c r="AJ5" s="58">
        <v>104</v>
      </c>
      <c r="AK5" s="46">
        <f t="shared" ref="AK5:AK9" si="18">(AJ5+AJ5)/(63+69)-1</f>
        <v>0.57575757575757569</v>
      </c>
      <c r="AL5" s="77"/>
      <c r="AM5" s="59">
        <v>47</v>
      </c>
      <c r="AN5" s="132">
        <f>SUM(AM5*1.45)</f>
        <v>68.149999999999991</v>
      </c>
      <c r="AO5" s="133">
        <f t="shared" si="3"/>
        <v>0.44999999999999973</v>
      </c>
      <c r="AP5" s="59">
        <f t="shared" ref="AP5:AP16" si="19">AN5-(AN5*0.05)</f>
        <v>64.742499999999993</v>
      </c>
      <c r="AQ5" s="69">
        <f t="shared" ref="AQ5:AQ15" si="20">AP5/AM5-1</f>
        <v>0.37749999999999995</v>
      </c>
      <c r="AR5" s="59">
        <f>SUM(AN5)</f>
        <v>68.149999999999991</v>
      </c>
      <c r="AS5" s="132">
        <f>SUM(AR5*1.45)</f>
        <v>98.817499999999981</v>
      </c>
      <c r="AT5" s="135">
        <f t="shared" si="6"/>
        <v>0.44999999999999996</v>
      </c>
      <c r="AU5" s="59">
        <f t="shared" ref="AU5:AU16" si="21">AS5-(AS5*0.05)</f>
        <v>93.876624999999976</v>
      </c>
      <c r="AV5" s="69">
        <f t="shared" ref="AV5:AV16" si="22">AU5/AR5-1</f>
        <v>0.37749999999999972</v>
      </c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</row>
    <row r="6" spans="1:59" s="41" customFormat="1" x14ac:dyDescent="0.25">
      <c r="A6" s="149"/>
      <c r="B6" s="79" t="s">
        <v>175</v>
      </c>
      <c r="C6" s="109" t="s">
        <v>125</v>
      </c>
      <c r="D6" s="109" t="s">
        <v>55</v>
      </c>
      <c r="E6" s="53">
        <f>(87+89)/(56+58)-1</f>
        <v>0.54385964912280693</v>
      </c>
      <c r="F6" s="109" t="s">
        <v>129</v>
      </c>
      <c r="G6" s="109" t="s">
        <v>59</v>
      </c>
      <c r="H6" s="53">
        <f>(117.45+120.15)/(84+87)-1</f>
        <v>0.38947368421052642</v>
      </c>
      <c r="I6" s="77"/>
      <c r="J6" s="56" t="s">
        <v>107</v>
      </c>
      <c r="K6" s="112">
        <v>65</v>
      </c>
      <c r="L6" s="111">
        <f t="shared" si="0"/>
        <v>0.54761904761904767</v>
      </c>
      <c r="M6" s="60">
        <f t="shared" si="7"/>
        <v>63.7</v>
      </c>
      <c r="N6" s="66">
        <f t="shared" si="8"/>
        <v>0.51666666666666683</v>
      </c>
      <c r="O6" s="56">
        <v>63</v>
      </c>
      <c r="P6" s="112">
        <v>97.5</v>
      </c>
      <c r="Q6" s="111">
        <f t="shared" si="1"/>
        <v>0.54761904761904767</v>
      </c>
      <c r="R6" s="60">
        <f t="shared" si="9"/>
        <v>95.55</v>
      </c>
      <c r="S6" s="66">
        <f t="shared" si="10"/>
        <v>0.51666666666666661</v>
      </c>
      <c r="T6" s="75"/>
      <c r="U6" s="57" t="s">
        <v>117</v>
      </c>
      <c r="V6" s="123">
        <v>82</v>
      </c>
      <c r="W6" s="124">
        <f t="shared" si="11"/>
        <v>0.34426229508196715</v>
      </c>
      <c r="X6" s="57">
        <f t="shared" si="12"/>
        <v>77.900000000000006</v>
      </c>
      <c r="Y6" s="68">
        <f t="shared" si="13"/>
        <v>0.27704918032786896</v>
      </c>
      <c r="Z6" s="127" t="s">
        <v>118</v>
      </c>
      <c r="AA6" s="123">
        <v>123</v>
      </c>
      <c r="AB6" s="129">
        <f t="shared" si="14"/>
        <v>0.34426229508196715</v>
      </c>
      <c r="AC6" s="57">
        <f t="shared" si="15"/>
        <v>116.85</v>
      </c>
      <c r="AD6" s="68">
        <f t="shared" si="16"/>
        <v>0.27704918032786874</v>
      </c>
      <c r="AE6" s="75"/>
      <c r="AF6" s="58" t="s">
        <v>142</v>
      </c>
      <c r="AG6" s="58">
        <v>71</v>
      </c>
      <c r="AH6" s="46">
        <f t="shared" si="17"/>
        <v>0.49473684210526314</v>
      </c>
      <c r="AI6" s="58" t="s">
        <v>145</v>
      </c>
      <c r="AJ6" s="58">
        <v>104</v>
      </c>
      <c r="AK6" s="46">
        <f t="shared" si="18"/>
        <v>0.57575757575757569</v>
      </c>
      <c r="AL6" s="77"/>
      <c r="AM6" s="59">
        <v>49</v>
      </c>
      <c r="AN6" s="132">
        <f>SUM(AM6*1.45)</f>
        <v>71.05</v>
      </c>
      <c r="AO6" s="133">
        <f t="shared" si="3"/>
        <v>0.44999999999999996</v>
      </c>
      <c r="AP6" s="59">
        <f t="shared" si="19"/>
        <v>67.497500000000002</v>
      </c>
      <c r="AQ6" s="69">
        <f t="shared" si="20"/>
        <v>0.37749999999999995</v>
      </c>
      <c r="AR6" s="59">
        <f>SUM(AN6)</f>
        <v>71.05</v>
      </c>
      <c r="AS6" s="132">
        <f>SUM(AR6*1.45)</f>
        <v>103.02249999999999</v>
      </c>
      <c r="AT6" s="135">
        <f t="shared" si="6"/>
        <v>0.44999999999999996</v>
      </c>
      <c r="AU6" s="59">
        <f t="shared" si="21"/>
        <v>97.871375</v>
      </c>
      <c r="AV6" s="69">
        <f t="shared" si="22"/>
        <v>0.37750000000000017</v>
      </c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</row>
    <row r="7" spans="1:59" s="41" customFormat="1" x14ac:dyDescent="0.25">
      <c r="A7" s="149"/>
      <c r="B7" s="79" t="s">
        <v>121</v>
      </c>
      <c r="C7" s="109" t="s">
        <v>123</v>
      </c>
      <c r="D7" s="109" t="s">
        <v>53</v>
      </c>
      <c r="E7" s="53">
        <f>(83+85)/(52+54)-1</f>
        <v>0.58490566037735858</v>
      </c>
      <c r="F7" s="109" t="s">
        <v>127</v>
      </c>
      <c r="G7" s="109" t="s">
        <v>57</v>
      </c>
      <c r="H7" s="53">
        <f>(112.05+114.75)/(78+81)-1</f>
        <v>0.42641509433962277</v>
      </c>
      <c r="I7" s="77"/>
      <c r="J7" s="56" t="s">
        <v>107</v>
      </c>
      <c r="K7" s="112">
        <v>65</v>
      </c>
      <c r="L7" s="111">
        <f t="shared" si="0"/>
        <v>0.54761904761904767</v>
      </c>
      <c r="M7" s="60">
        <f t="shared" si="7"/>
        <v>63.7</v>
      </c>
      <c r="N7" s="66">
        <f t="shared" si="8"/>
        <v>0.51666666666666683</v>
      </c>
      <c r="O7" s="56">
        <v>63</v>
      </c>
      <c r="P7" s="112">
        <v>97.5</v>
      </c>
      <c r="Q7" s="111">
        <f t="shared" si="1"/>
        <v>0.54761904761904767</v>
      </c>
      <c r="R7" s="60">
        <f t="shared" si="9"/>
        <v>95.55</v>
      </c>
      <c r="S7" s="66">
        <f t="shared" si="10"/>
        <v>0.51666666666666661</v>
      </c>
      <c r="T7" s="75"/>
      <c r="U7" s="57" t="s">
        <v>117</v>
      </c>
      <c r="V7" s="123">
        <v>82</v>
      </c>
      <c r="W7" s="124">
        <f t="shared" si="11"/>
        <v>0.34426229508196715</v>
      </c>
      <c r="X7" s="57">
        <f t="shared" si="12"/>
        <v>77.900000000000006</v>
      </c>
      <c r="Y7" s="68">
        <f t="shared" si="13"/>
        <v>0.27704918032786896</v>
      </c>
      <c r="Z7" s="127" t="s">
        <v>118</v>
      </c>
      <c r="AA7" s="123">
        <v>123</v>
      </c>
      <c r="AB7" s="129">
        <f t="shared" si="14"/>
        <v>0.34426229508196715</v>
      </c>
      <c r="AC7" s="57">
        <f t="shared" si="15"/>
        <v>116.85</v>
      </c>
      <c r="AD7" s="68">
        <f t="shared" si="16"/>
        <v>0.27704918032786874</v>
      </c>
      <c r="AE7" s="75"/>
      <c r="AF7" s="58" t="s">
        <v>142</v>
      </c>
      <c r="AG7" s="58">
        <v>71</v>
      </c>
      <c r="AH7" s="46">
        <f t="shared" si="17"/>
        <v>0.49473684210526314</v>
      </c>
      <c r="AI7" s="58" t="s">
        <v>145</v>
      </c>
      <c r="AJ7" s="58">
        <v>104</v>
      </c>
      <c r="AK7" s="46">
        <f t="shared" si="18"/>
        <v>0.57575757575757569</v>
      </c>
      <c r="AL7" s="77"/>
      <c r="AM7" s="59">
        <v>47</v>
      </c>
      <c r="AN7" s="132">
        <f>SUM(AM7*1.45)</f>
        <v>68.149999999999991</v>
      </c>
      <c r="AO7" s="133">
        <f t="shared" si="3"/>
        <v>0.44999999999999973</v>
      </c>
      <c r="AP7" s="59">
        <f t="shared" si="19"/>
        <v>64.742499999999993</v>
      </c>
      <c r="AQ7" s="69">
        <f t="shared" si="20"/>
        <v>0.37749999999999995</v>
      </c>
      <c r="AR7" s="59">
        <f>SUM(AN7)</f>
        <v>68.149999999999991</v>
      </c>
      <c r="AS7" s="132">
        <f>SUM(AR7*1.45)</f>
        <v>98.817499999999981</v>
      </c>
      <c r="AT7" s="135">
        <f t="shared" si="6"/>
        <v>0.44999999999999996</v>
      </c>
      <c r="AU7" s="59">
        <f t="shared" si="21"/>
        <v>93.876624999999976</v>
      </c>
      <c r="AV7" s="69">
        <f t="shared" si="22"/>
        <v>0.37749999999999972</v>
      </c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</row>
    <row r="8" spans="1:59" s="41" customFormat="1" x14ac:dyDescent="0.25">
      <c r="A8" s="149"/>
      <c r="B8" s="79" t="s">
        <v>122</v>
      </c>
      <c r="C8" s="109" t="s">
        <v>124</v>
      </c>
      <c r="D8" s="109" t="s">
        <v>54</v>
      </c>
      <c r="E8" s="53">
        <f>(85+87)/(54+56)-1</f>
        <v>0.56363636363636371</v>
      </c>
      <c r="F8" s="109" t="s">
        <v>128</v>
      </c>
      <c r="G8" s="109" t="s">
        <v>58</v>
      </c>
      <c r="H8" s="53">
        <f>(114.75+117.45)/(81+84)-1</f>
        <v>0.40727272727272723</v>
      </c>
      <c r="I8" s="77"/>
      <c r="J8" s="56" t="s">
        <v>107</v>
      </c>
      <c r="K8" s="112">
        <v>65</v>
      </c>
      <c r="L8" s="111">
        <f t="shared" si="0"/>
        <v>0.54761904761904767</v>
      </c>
      <c r="M8" s="60">
        <f t="shared" si="7"/>
        <v>63.7</v>
      </c>
      <c r="N8" s="66">
        <f t="shared" si="8"/>
        <v>0.51666666666666683</v>
      </c>
      <c r="O8" s="56">
        <v>63</v>
      </c>
      <c r="P8" s="112">
        <v>97.5</v>
      </c>
      <c r="Q8" s="111">
        <f t="shared" si="1"/>
        <v>0.54761904761904767</v>
      </c>
      <c r="R8" s="60">
        <f t="shared" si="9"/>
        <v>95.55</v>
      </c>
      <c r="S8" s="66">
        <f t="shared" si="10"/>
        <v>0.51666666666666661</v>
      </c>
      <c r="T8" s="75"/>
      <c r="U8" s="57" t="s">
        <v>117</v>
      </c>
      <c r="V8" s="123">
        <v>82</v>
      </c>
      <c r="W8" s="124">
        <f t="shared" si="11"/>
        <v>0.34426229508196715</v>
      </c>
      <c r="X8" s="57">
        <f t="shared" si="12"/>
        <v>77.900000000000006</v>
      </c>
      <c r="Y8" s="68">
        <f t="shared" si="13"/>
        <v>0.27704918032786896</v>
      </c>
      <c r="Z8" s="127" t="s">
        <v>118</v>
      </c>
      <c r="AA8" s="123">
        <v>123</v>
      </c>
      <c r="AB8" s="129">
        <f t="shared" si="14"/>
        <v>0.34426229508196715</v>
      </c>
      <c r="AC8" s="57">
        <f t="shared" si="15"/>
        <v>116.85</v>
      </c>
      <c r="AD8" s="68">
        <f t="shared" si="16"/>
        <v>0.27704918032786874</v>
      </c>
      <c r="AE8" s="75"/>
      <c r="AF8" s="58" t="s">
        <v>142</v>
      </c>
      <c r="AG8" s="58">
        <v>71</v>
      </c>
      <c r="AH8" s="46">
        <f t="shared" si="17"/>
        <v>0.49473684210526314</v>
      </c>
      <c r="AI8" s="58" t="s">
        <v>145</v>
      </c>
      <c r="AJ8" s="58">
        <v>104</v>
      </c>
      <c r="AK8" s="46">
        <f t="shared" si="18"/>
        <v>0.57575757575757569</v>
      </c>
      <c r="AL8" s="77"/>
      <c r="AM8" s="59">
        <v>49</v>
      </c>
      <c r="AN8" s="132">
        <f>SUM(AM8*1.45)</f>
        <v>71.05</v>
      </c>
      <c r="AO8" s="133">
        <f t="shared" si="3"/>
        <v>0.44999999999999996</v>
      </c>
      <c r="AP8" s="59">
        <f t="shared" si="19"/>
        <v>67.497500000000002</v>
      </c>
      <c r="AQ8" s="69">
        <f t="shared" si="20"/>
        <v>0.37749999999999995</v>
      </c>
      <c r="AR8" s="59">
        <f>SUM(AN8)</f>
        <v>71.05</v>
      </c>
      <c r="AS8" s="132">
        <f>SUM(AR8*1.45)</f>
        <v>103.02249999999999</v>
      </c>
      <c r="AT8" s="135">
        <f t="shared" si="6"/>
        <v>0.44999999999999996</v>
      </c>
      <c r="AU8" s="59">
        <f t="shared" si="21"/>
        <v>97.871375</v>
      </c>
      <c r="AV8" s="69">
        <f t="shared" si="22"/>
        <v>0.37750000000000017</v>
      </c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</row>
    <row r="9" spans="1:59" s="41" customFormat="1" x14ac:dyDescent="0.25">
      <c r="A9" s="150"/>
      <c r="B9" s="79" t="s">
        <v>176</v>
      </c>
      <c r="C9" s="109" t="s">
        <v>126</v>
      </c>
      <c r="D9" s="109" t="s">
        <v>56</v>
      </c>
      <c r="E9" s="53">
        <f>(89+91)/(58+60)-1</f>
        <v>0.52542372881355925</v>
      </c>
      <c r="F9" s="109" t="s">
        <v>130</v>
      </c>
      <c r="G9" s="109" t="s">
        <v>60</v>
      </c>
      <c r="H9" s="53">
        <f>(120.15+122.85)/(87+90)-1</f>
        <v>0.37288135593220328</v>
      </c>
      <c r="I9" s="77"/>
      <c r="J9" s="56" t="s">
        <v>107</v>
      </c>
      <c r="K9" s="112">
        <v>65</v>
      </c>
      <c r="L9" s="111">
        <f t="shared" si="0"/>
        <v>0.54761904761904767</v>
      </c>
      <c r="M9" s="60">
        <f t="shared" si="7"/>
        <v>63.7</v>
      </c>
      <c r="N9" s="66">
        <f t="shared" si="8"/>
        <v>0.51666666666666683</v>
      </c>
      <c r="O9" s="56">
        <v>63</v>
      </c>
      <c r="P9" s="112">
        <v>97.5</v>
      </c>
      <c r="Q9" s="111">
        <f t="shared" si="1"/>
        <v>0.54761904761904767</v>
      </c>
      <c r="R9" s="60">
        <f t="shared" si="9"/>
        <v>95.55</v>
      </c>
      <c r="S9" s="66">
        <f t="shared" si="10"/>
        <v>0.51666666666666661</v>
      </c>
      <c r="T9" s="75"/>
      <c r="U9" s="57" t="s">
        <v>117</v>
      </c>
      <c r="V9" s="123">
        <v>82</v>
      </c>
      <c r="W9" s="124">
        <f t="shared" si="11"/>
        <v>0.34426229508196715</v>
      </c>
      <c r="X9" s="57">
        <f t="shared" si="12"/>
        <v>77.900000000000006</v>
      </c>
      <c r="Y9" s="68">
        <f t="shared" si="13"/>
        <v>0.27704918032786896</v>
      </c>
      <c r="Z9" s="127" t="s">
        <v>118</v>
      </c>
      <c r="AA9" s="123">
        <v>123</v>
      </c>
      <c r="AB9" s="129">
        <f t="shared" si="14"/>
        <v>0.34426229508196715</v>
      </c>
      <c r="AC9" s="57">
        <f t="shared" si="15"/>
        <v>116.85</v>
      </c>
      <c r="AD9" s="68">
        <f t="shared" si="16"/>
        <v>0.27704918032786874</v>
      </c>
      <c r="AE9" s="75"/>
      <c r="AF9" s="58" t="s">
        <v>142</v>
      </c>
      <c r="AG9" s="58">
        <v>71</v>
      </c>
      <c r="AH9" s="46">
        <f t="shared" si="17"/>
        <v>0.49473684210526314</v>
      </c>
      <c r="AI9" s="58" t="s">
        <v>145</v>
      </c>
      <c r="AJ9" s="58">
        <v>104</v>
      </c>
      <c r="AK9" s="46">
        <f t="shared" si="18"/>
        <v>0.57575757575757569</v>
      </c>
      <c r="AL9" s="77"/>
      <c r="AM9" s="59">
        <v>51</v>
      </c>
      <c r="AN9" s="132">
        <f t="shared" ref="AN9:AN43" si="23">SUM(AM9*1.45)</f>
        <v>73.95</v>
      </c>
      <c r="AO9" s="133">
        <f t="shared" si="3"/>
        <v>0.44999999999999996</v>
      </c>
      <c r="AP9" s="59">
        <f t="shared" si="19"/>
        <v>70.252499999999998</v>
      </c>
      <c r="AQ9" s="69">
        <f t="shared" si="20"/>
        <v>0.37749999999999995</v>
      </c>
      <c r="AR9" s="59">
        <f t="shared" ref="AR9:AR43" si="24">SUM(AN9)</f>
        <v>73.95</v>
      </c>
      <c r="AS9" s="132">
        <f t="shared" ref="AS9:AS43" si="25">SUM(AR9*1.45)</f>
        <v>107.22750000000001</v>
      </c>
      <c r="AT9" s="135">
        <f t="shared" si="6"/>
        <v>0.44999999999999996</v>
      </c>
      <c r="AU9" s="59">
        <f t="shared" si="21"/>
        <v>101.86612500000001</v>
      </c>
      <c r="AV9" s="69">
        <f t="shared" si="22"/>
        <v>0.37750000000000017</v>
      </c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</row>
    <row r="10" spans="1:59" s="78" customFormat="1" ht="8.4499999999999993" customHeight="1" x14ac:dyDescent="0.25">
      <c r="A10" s="93"/>
      <c r="B10" s="73"/>
      <c r="C10" s="76"/>
      <c r="D10" s="76"/>
      <c r="E10" s="77"/>
      <c r="F10" s="76"/>
      <c r="G10" s="76"/>
      <c r="H10" s="77"/>
      <c r="I10" s="77"/>
      <c r="J10" s="76"/>
      <c r="K10" s="76"/>
      <c r="L10" s="75"/>
      <c r="M10" s="74"/>
      <c r="N10" s="75"/>
      <c r="O10" s="76"/>
      <c r="P10" s="119"/>
      <c r="Q10" s="130"/>
      <c r="R10" s="74"/>
      <c r="S10" s="75"/>
      <c r="T10" s="75"/>
      <c r="U10" s="76"/>
      <c r="V10" s="119"/>
      <c r="W10" s="125"/>
      <c r="X10" s="77"/>
      <c r="Y10" s="77"/>
      <c r="Z10" s="128"/>
      <c r="AA10" s="119"/>
      <c r="AB10" s="130"/>
      <c r="AC10" s="75"/>
      <c r="AD10" s="75"/>
      <c r="AE10" s="75"/>
      <c r="AF10" s="76"/>
      <c r="AG10" s="76"/>
      <c r="AH10" s="77"/>
      <c r="AI10" s="76"/>
      <c r="AJ10" s="76"/>
      <c r="AK10" s="77"/>
      <c r="AL10" s="77"/>
      <c r="AM10" s="76"/>
      <c r="AN10" s="119"/>
      <c r="AO10" s="126"/>
      <c r="AP10" s="77"/>
      <c r="AQ10" s="77"/>
      <c r="AR10" s="76"/>
      <c r="AS10" s="119"/>
      <c r="AT10" s="130"/>
      <c r="AU10" s="75"/>
      <c r="AV10" s="75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</row>
    <row r="11" spans="1:59" s="41" customFormat="1" x14ac:dyDescent="0.25">
      <c r="A11" s="164" t="s">
        <v>156</v>
      </c>
      <c r="B11" s="79" t="s">
        <v>119</v>
      </c>
      <c r="C11" s="44">
        <v>14</v>
      </c>
      <c r="D11" s="44">
        <v>22</v>
      </c>
      <c r="E11" s="52">
        <f t="shared" ref="E11:E16" si="26">(D11/C11)-1</f>
        <v>0.5714285714285714</v>
      </c>
      <c r="F11" s="44">
        <v>21</v>
      </c>
      <c r="G11" s="44">
        <v>29.7</v>
      </c>
      <c r="H11" s="52">
        <f t="shared" ref="H11:H16" si="27">G11/F11-1</f>
        <v>0.41428571428571415</v>
      </c>
      <c r="I11" s="75"/>
      <c r="J11" s="60" t="s">
        <v>104</v>
      </c>
      <c r="K11" s="110">
        <v>20</v>
      </c>
      <c r="L11" s="111">
        <f>(K11+K11)/(13+15)-1</f>
        <v>0.4285714285714286</v>
      </c>
      <c r="M11" s="60">
        <f t="shared" ref="M11:M16" si="28">K11-(K11*0.02)</f>
        <v>19.600000000000001</v>
      </c>
      <c r="N11" s="66">
        <f>(M11+M11)/(13+15)-1</f>
        <v>0.40000000000000013</v>
      </c>
      <c r="O11" s="60">
        <v>22.5</v>
      </c>
      <c r="P11" s="110">
        <v>30</v>
      </c>
      <c r="Q11" s="111">
        <f t="shared" ref="Q11:Q16" si="29">P11/O11-1</f>
        <v>0.33333333333333326</v>
      </c>
      <c r="R11" s="60">
        <f t="shared" si="9"/>
        <v>29.4</v>
      </c>
      <c r="S11" s="66">
        <f t="shared" si="10"/>
        <v>0.30666666666666664</v>
      </c>
      <c r="T11" s="75"/>
      <c r="U11" s="57" t="s">
        <v>113</v>
      </c>
      <c r="V11" s="123">
        <v>23</v>
      </c>
      <c r="W11" s="124">
        <f>(V11+V11)/(13+15)-1</f>
        <v>0.64285714285714279</v>
      </c>
      <c r="X11" s="57">
        <f t="shared" si="12"/>
        <v>21.85</v>
      </c>
      <c r="Y11" s="68">
        <f>(X11+X11)/(13+15)-1</f>
        <v>0.56071428571428572</v>
      </c>
      <c r="Z11" s="127" t="s">
        <v>114</v>
      </c>
      <c r="AA11" s="123">
        <v>34.5</v>
      </c>
      <c r="AB11" s="129">
        <f>(AA11+AA11)/(20.25+22.5)-1</f>
        <v>0.61403508771929816</v>
      </c>
      <c r="AC11" s="57">
        <f t="shared" si="15"/>
        <v>32.774999999999999</v>
      </c>
      <c r="AD11" s="68">
        <f>(AC11+AC11)/(20.25+22.5)-1</f>
        <v>0.53333333333333321</v>
      </c>
      <c r="AE11" s="75"/>
      <c r="AF11" s="58" t="s">
        <v>141</v>
      </c>
      <c r="AG11" s="58">
        <v>22</v>
      </c>
      <c r="AH11" s="46">
        <f>(AG11+AG11)/(12+15)-1</f>
        <v>0.62962962962962954</v>
      </c>
      <c r="AI11" s="58" t="s">
        <v>146</v>
      </c>
      <c r="AJ11" s="58">
        <v>31.5</v>
      </c>
      <c r="AK11" s="46">
        <f>(AJ11+AJ11)/(18+22.5)-1</f>
        <v>0.55555555555555558</v>
      </c>
      <c r="AL11" s="77"/>
      <c r="AM11" s="59">
        <v>15</v>
      </c>
      <c r="AN11" s="132">
        <f t="shared" ref="AN11:AN16" si="30">SUM(AM11*1.4)</f>
        <v>21</v>
      </c>
      <c r="AO11" s="133">
        <f t="shared" ref="AO11:AO16" si="31">AN11/AM11-1</f>
        <v>0.39999999999999991</v>
      </c>
      <c r="AP11" s="59">
        <f t="shared" si="19"/>
        <v>19.95</v>
      </c>
      <c r="AQ11" s="69">
        <f t="shared" si="20"/>
        <v>0.32999999999999985</v>
      </c>
      <c r="AR11" s="59">
        <f t="shared" ref="AR11:AR16" si="32">SUM(AN11)</f>
        <v>21</v>
      </c>
      <c r="AS11" s="132">
        <f t="shared" ref="AS11:AS16" si="33">SUM(AR11*1.4)</f>
        <v>29.4</v>
      </c>
      <c r="AT11" s="135">
        <f t="shared" ref="AT11:AT16" si="34">AS11/AR11-1</f>
        <v>0.39999999999999991</v>
      </c>
      <c r="AU11" s="59">
        <f t="shared" si="21"/>
        <v>27.93</v>
      </c>
      <c r="AV11" s="69">
        <f t="shared" si="22"/>
        <v>0.33000000000000007</v>
      </c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</row>
    <row r="12" spans="1:59" s="41" customFormat="1" x14ac:dyDescent="0.25">
      <c r="A12" s="149"/>
      <c r="B12" s="79" t="s">
        <v>120</v>
      </c>
      <c r="C12" s="44">
        <v>14</v>
      </c>
      <c r="D12" s="44">
        <v>22</v>
      </c>
      <c r="E12" s="52">
        <f t="shared" si="26"/>
        <v>0.5714285714285714</v>
      </c>
      <c r="F12" s="44">
        <v>21</v>
      </c>
      <c r="G12" s="44">
        <v>29.7</v>
      </c>
      <c r="H12" s="52">
        <f t="shared" si="27"/>
        <v>0.41428571428571415</v>
      </c>
      <c r="I12" s="75"/>
      <c r="J12" s="60" t="s">
        <v>104</v>
      </c>
      <c r="K12" s="110">
        <v>20</v>
      </c>
      <c r="L12" s="111">
        <f>(K12+K12)/(13+15)-1</f>
        <v>0.4285714285714286</v>
      </c>
      <c r="M12" s="60">
        <f t="shared" si="28"/>
        <v>19.600000000000001</v>
      </c>
      <c r="N12" s="66">
        <f t="shared" ref="N12:N13" si="35">(M12+M12)/(13+15)-1</f>
        <v>0.40000000000000013</v>
      </c>
      <c r="O12" s="60">
        <v>22.5</v>
      </c>
      <c r="P12" s="110">
        <v>30</v>
      </c>
      <c r="Q12" s="111">
        <f t="shared" si="29"/>
        <v>0.33333333333333326</v>
      </c>
      <c r="R12" s="60">
        <f t="shared" si="9"/>
        <v>29.4</v>
      </c>
      <c r="S12" s="66">
        <f t="shared" si="10"/>
        <v>0.30666666666666664</v>
      </c>
      <c r="T12" s="75"/>
      <c r="U12" s="57" t="s">
        <v>113</v>
      </c>
      <c r="V12" s="123">
        <v>23</v>
      </c>
      <c r="W12" s="124">
        <f t="shared" ref="W12:W16" si="36">(V12+V12)/(13+15)-1</f>
        <v>0.64285714285714279</v>
      </c>
      <c r="X12" s="57">
        <f t="shared" si="12"/>
        <v>21.85</v>
      </c>
      <c r="Y12" s="68">
        <f t="shared" ref="Y12:Y16" si="37">(X12+X12)/(13+15)-1</f>
        <v>0.56071428571428572</v>
      </c>
      <c r="Z12" s="127" t="s">
        <v>114</v>
      </c>
      <c r="AA12" s="123">
        <v>34.5</v>
      </c>
      <c r="AB12" s="129">
        <f t="shared" ref="AB12:AB16" si="38">(AA12+AA12)/(20.25+22.5)-1</f>
        <v>0.61403508771929816</v>
      </c>
      <c r="AC12" s="57">
        <f t="shared" si="15"/>
        <v>32.774999999999999</v>
      </c>
      <c r="AD12" s="68">
        <f t="shared" ref="AD12:AD16" si="39">(AC12+AC12)/(20.25+22.5)-1</f>
        <v>0.53333333333333321</v>
      </c>
      <c r="AE12" s="75"/>
      <c r="AF12" s="58" t="s">
        <v>141</v>
      </c>
      <c r="AG12" s="58">
        <v>22</v>
      </c>
      <c r="AH12" s="46">
        <f t="shared" ref="AH12:AH16" si="40">(AG12+AG12)/(12+15)-1</f>
        <v>0.62962962962962954</v>
      </c>
      <c r="AI12" s="58" t="s">
        <v>146</v>
      </c>
      <c r="AJ12" s="58">
        <v>31.5</v>
      </c>
      <c r="AK12" s="46">
        <f t="shared" ref="AK12:AK16" si="41">(AJ12+AJ12)/(18+22.5)-1</f>
        <v>0.55555555555555558</v>
      </c>
      <c r="AL12" s="77"/>
      <c r="AM12" s="59">
        <v>15</v>
      </c>
      <c r="AN12" s="132">
        <f>SUM(AM12*1.4)</f>
        <v>21</v>
      </c>
      <c r="AO12" s="133">
        <f t="shared" si="31"/>
        <v>0.39999999999999991</v>
      </c>
      <c r="AP12" s="59">
        <f t="shared" si="19"/>
        <v>19.95</v>
      </c>
      <c r="AQ12" s="69">
        <f t="shared" si="20"/>
        <v>0.32999999999999985</v>
      </c>
      <c r="AR12" s="59">
        <f t="shared" si="32"/>
        <v>21</v>
      </c>
      <c r="AS12" s="132">
        <f>SUM(AR12*1.4)</f>
        <v>29.4</v>
      </c>
      <c r="AT12" s="135">
        <f t="shared" si="34"/>
        <v>0.39999999999999991</v>
      </c>
      <c r="AU12" s="59">
        <f t="shared" si="21"/>
        <v>27.93</v>
      </c>
      <c r="AV12" s="69">
        <f t="shared" si="22"/>
        <v>0.33000000000000007</v>
      </c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</row>
    <row r="13" spans="1:59" s="41" customFormat="1" x14ac:dyDescent="0.25">
      <c r="A13" s="149"/>
      <c r="B13" s="79" t="s">
        <v>175</v>
      </c>
      <c r="C13" s="44">
        <v>14</v>
      </c>
      <c r="D13" s="44">
        <v>22</v>
      </c>
      <c r="E13" s="52">
        <f t="shared" si="26"/>
        <v>0.5714285714285714</v>
      </c>
      <c r="F13" s="44">
        <v>21</v>
      </c>
      <c r="G13" s="44">
        <v>29.7</v>
      </c>
      <c r="H13" s="52">
        <f t="shared" si="27"/>
        <v>0.41428571428571415</v>
      </c>
      <c r="I13" s="75"/>
      <c r="J13" s="60" t="s">
        <v>104</v>
      </c>
      <c r="K13" s="110">
        <v>20</v>
      </c>
      <c r="L13" s="111">
        <f>(K13+K13)/(13+15)-1</f>
        <v>0.4285714285714286</v>
      </c>
      <c r="M13" s="60">
        <f t="shared" si="28"/>
        <v>19.600000000000001</v>
      </c>
      <c r="N13" s="66">
        <f t="shared" si="35"/>
        <v>0.40000000000000013</v>
      </c>
      <c r="O13" s="60">
        <v>22.5</v>
      </c>
      <c r="P13" s="110">
        <v>30</v>
      </c>
      <c r="Q13" s="111">
        <f t="shared" si="29"/>
        <v>0.33333333333333326</v>
      </c>
      <c r="R13" s="60">
        <f t="shared" si="9"/>
        <v>29.4</v>
      </c>
      <c r="S13" s="66">
        <f t="shared" si="10"/>
        <v>0.30666666666666664</v>
      </c>
      <c r="T13" s="75"/>
      <c r="U13" s="57" t="s">
        <v>113</v>
      </c>
      <c r="V13" s="123">
        <v>23</v>
      </c>
      <c r="W13" s="124">
        <f t="shared" si="36"/>
        <v>0.64285714285714279</v>
      </c>
      <c r="X13" s="57">
        <f t="shared" si="12"/>
        <v>21.85</v>
      </c>
      <c r="Y13" s="68">
        <f t="shared" si="37"/>
        <v>0.56071428571428572</v>
      </c>
      <c r="Z13" s="127" t="s">
        <v>114</v>
      </c>
      <c r="AA13" s="123">
        <v>34.5</v>
      </c>
      <c r="AB13" s="129">
        <f t="shared" si="38"/>
        <v>0.61403508771929816</v>
      </c>
      <c r="AC13" s="57">
        <f t="shared" si="15"/>
        <v>32.774999999999999</v>
      </c>
      <c r="AD13" s="68">
        <f t="shared" si="39"/>
        <v>0.53333333333333321</v>
      </c>
      <c r="AE13" s="75"/>
      <c r="AF13" s="58" t="s">
        <v>141</v>
      </c>
      <c r="AG13" s="58">
        <v>22</v>
      </c>
      <c r="AH13" s="46">
        <f t="shared" si="40"/>
        <v>0.62962962962962954</v>
      </c>
      <c r="AI13" s="58" t="s">
        <v>146</v>
      </c>
      <c r="AJ13" s="58">
        <v>31.5</v>
      </c>
      <c r="AK13" s="46">
        <f t="shared" si="41"/>
        <v>0.55555555555555558</v>
      </c>
      <c r="AL13" s="77"/>
      <c r="AM13" s="59">
        <v>15</v>
      </c>
      <c r="AN13" s="132">
        <f>SUM(AM13*1.4)</f>
        <v>21</v>
      </c>
      <c r="AO13" s="133">
        <f t="shared" si="31"/>
        <v>0.39999999999999991</v>
      </c>
      <c r="AP13" s="59">
        <f t="shared" si="19"/>
        <v>19.95</v>
      </c>
      <c r="AQ13" s="69">
        <f t="shared" si="20"/>
        <v>0.32999999999999985</v>
      </c>
      <c r="AR13" s="59">
        <f t="shared" si="32"/>
        <v>21</v>
      </c>
      <c r="AS13" s="132">
        <f>SUM(AR13*1.4)</f>
        <v>29.4</v>
      </c>
      <c r="AT13" s="135">
        <f t="shared" si="34"/>
        <v>0.39999999999999991</v>
      </c>
      <c r="AU13" s="59">
        <f t="shared" si="21"/>
        <v>27.93</v>
      </c>
      <c r="AV13" s="69">
        <f t="shared" si="22"/>
        <v>0.33000000000000007</v>
      </c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</row>
    <row r="14" spans="1:59" s="41" customFormat="1" x14ac:dyDescent="0.25">
      <c r="A14" s="149"/>
      <c r="B14" s="79" t="s">
        <v>121</v>
      </c>
      <c r="C14" s="44">
        <v>15</v>
      </c>
      <c r="D14" s="44">
        <v>23.5</v>
      </c>
      <c r="E14" s="52">
        <f t="shared" si="26"/>
        <v>0.56666666666666665</v>
      </c>
      <c r="F14" s="44">
        <v>22.5</v>
      </c>
      <c r="G14" s="44">
        <v>31.73</v>
      </c>
      <c r="H14" s="52">
        <f t="shared" si="27"/>
        <v>0.41022222222222227</v>
      </c>
      <c r="I14" s="75"/>
      <c r="J14" s="60" t="s">
        <v>105</v>
      </c>
      <c r="K14" s="110">
        <v>21.5</v>
      </c>
      <c r="L14" s="111">
        <f>(K14+K14)/(15+17)-1</f>
        <v>0.34375</v>
      </c>
      <c r="M14" s="60">
        <f t="shared" si="28"/>
        <v>21.07</v>
      </c>
      <c r="N14" s="66">
        <f>(M14+M14)/(17+15)-1</f>
        <v>0.31687500000000002</v>
      </c>
      <c r="O14" s="60">
        <v>24</v>
      </c>
      <c r="P14" s="110">
        <v>32</v>
      </c>
      <c r="Q14" s="111">
        <f t="shared" si="29"/>
        <v>0.33333333333333326</v>
      </c>
      <c r="R14" s="60">
        <f t="shared" si="9"/>
        <v>31.36</v>
      </c>
      <c r="S14" s="66">
        <f t="shared" si="10"/>
        <v>0.30666666666666664</v>
      </c>
      <c r="T14" s="75"/>
      <c r="U14" s="57" t="s">
        <v>113</v>
      </c>
      <c r="V14" s="123">
        <v>23</v>
      </c>
      <c r="W14" s="124">
        <f t="shared" si="36"/>
        <v>0.64285714285714279</v>
      </c>
      <c r="X14" s="57">
        <f t="shared" si="12"/>
        <v>21.85</v>
      </c>
      <c r="Y14" s="68">
        <f t="shared" si="37"/>
        <v>0.56071428571428572</v>
      </c>
      <c r="Z14" s="127" t="s">
        <v>114</v>
      </c>
      <c r="AA14" s="123">
        <v>34.5</v>
      </c>
      <c r="AB14" s="129">
        <f t="shared" si="38"/>
        <v>0.61403508771929816</v>
      </c>
      <c r="AC14" s="57">
        <f t="shared" si="15"/>
        <v>32.774999999999999</v>
      </c>
      <c r="AD14" s="68">
        <f t="shared" si="39"/>
        <v>0.53333333333333321</v>
      </c>
      <c r="AE14" s="75"/>
      <c r="AF14" s="58" t="s">
        <v>141</v>
      </c>
      <c r="AG14" s="58">
        <v>22</v>
      </c>
      <c r="AH14" s="46">
        <f t="shared" si="40"/>
        <v>0.62962962962962954</v>
      </c>
      <c r="AI14" s="58" t="s">
        <v>146</v>
      </c>
      <c r="AJ14" s="58">
        <v>31.5</v>
      </c>
      <c r="AK14" s="46">
        <f t="shared" si="41"/>
        <v>0.55555555555555558</v>
      </c>
      <c r="AL14" s="77"/>
      <c r="AM14" s="59">
        <v>16</v>
      </c>
      <c r="AN14" s="132">
        <f t="shared" si="30"/>
        <v>22.4</v>
      </c>
      <c r="AO14" s="133">
        <f t="shared" si="31"/>
        <v>0.39999999999999991</v>
      </c>
      <c r="AP14" s="59">
        <f t="shared" si="19"/>
        <v>21.279999999999998</v>
      </c>
      <c r="AQ14" s="69">
        <f t="shared" si="20"/>
        <v>0.32999999999999985</v>
      </c>
      <c r="AR14" s="59">
        <f t="shared" si="32"/>
        <v>22.4</v>
      </c>
      <c r="AS14" s="132">
        <f t="shared" si="33"/>
        <v>31.359999999999996</v>
      </c>
      <c r="AT14" s="135">
        <f t="shared" si="34"/>
        <v>0.39999999999999991</v>
      </c>
      <c r="AU14" s="59">
        <f t="shared" si="21"/>
        <v>29.791999999999994</v>
      </c>
      <c r="AV14" s="69">
        <f t="shared" si="22"/>
        <v>0.32999999999999985</v>
      </c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</row>
    <row r="15" spans="1:59" s="41" customFormat="1" x14ac:dyDescent="0.25">
      <c r="A15" s="149"/>
      <c r="B15" s="79" t="s">
        <v>122</v>
      </c>
      <c r="C15" s="44">
        <v>15</v>
      </c>
      <c r="D15" s="44">
        <v>23.5</v>
      </c>
      <c r="E15" s="52">
        <f t="shared" si="26"/>
        <v>0.56666666666666665</v>
      </c>
      <c r="F15" s="44">
        <v>22.5</v>
      </c>
      <c r="G15" s="44">
        <v>31.73</v>
      </c>
      <c r="H15" s="52">
        <f t="shared" si="27"/>
        <v>0.41022222222222227</v>
      </c>
      <c r="I15" s="75"/>
      <c r="J15" s="60" t="s">
        <v>105</v>
      </c>
      <c r="K15" s="110">
        <v>21.5</v>
      </c>
      <c r="L15" s="111">
        <f>(K15+K15)/(15+17)-1</f>
        <v>0.34375</v>
      </c>
      <c r="M15" s="60">
        <f t="shared" si="28"/>
        <v>21.07</v>
      </c>
      <c r="N15" s="66">
        <f t="shared" ref="N15:N16" si="42">(M15+M15)/(17+15)-1</f>
        <v>0.31687500000000002</v>
      </c>
      <c r="O15" s="60">
        <v>24</v>
      </c>
      <c r="P15" s="110">
        <v>32</v>
      </c>
      <c r="Q15" s="111">
        <f t="shared" si="29"/>
        <v>0.33333333333333326</v>
      </c>
      <c r="R15" s="60">
        <f t="shared" si="9"/>
        <v>31.36</v>
      </c>
      <c r="S15" s="66">
        <f t="shared" si="10"/>
        <v>0.30666666666666664</v>
      </c>
      <c r="T15" s="75"/>
      <c r="U15" s="57" t="s">
        <v>113</v>
      </c>
      <c r="V15" s="123">
        <v>23</v>
      </c>
      <c r="W15" s="124">
        <f t="shared" si="36"/>
        <v>0.64285714285714279</v>
      </c>
      <c r="X15" s="57">
        <f t="shared" si="12"/>
        <v>21.85</v>
      </c>
      <c r="Y15" s="68">
        <f t="shared" si="37"/>
        <v>0.56071428571428572</v>
      </c>
      <c r="Z15" s="127" t="s">
        <v>114</v>
      </c>
      <c r="AA15" s="123">
        <v>34.5</v>
      </c>
      <c r="AB15" s="129">
        <f t="shared" si="38"/>
        <v>0.61403508771929816</v>
      </c>
      <c r="AC15" s="57">
        <f t="shared" si="15"/>
        <v>32.774999999999999</v>
      </c>
      <c r="AD15" s="68">
        <f t="shared" si="39"/>
        <v>0.53333333333333321</v>
      </c>
      <c r="AE15" s="75"/>
      <c r="AF15" s="58" t="s">
        <v>141</v>
      </c>
      <c r="AG15" s="58">
        <v>22</v>
      </c>
      <c r="AH15" s="46">
        <f t="shared" si="40"/>
        <v>0.62962962962962954</v>
      </c>
      <c r="AI15" s="58" t="s">
        <v>146</v>
      </c>
      <c r="AJ15" s="58">
        <v>31.5</v>
      </c>
      <c r="AK15" s="46">
        <f t="shared" si="41"/>
        <v>0.55555555555555558</v>
      </c>
      <c r="AL15" s="77"/>
      <c r="AM15" s="59">
        <v>16</v>
      </c>
      <c r="AN15" s="132">
        <f t="shared" si="30"/>
        <v>22.4</v>
      </c>
      <c r="AO15" s="133">
        <f t="shared" si="31"/>
        <v>0.39999999999999991</v>
      </c>
      <c r="AP15" s="59">
        <f t="shared" si="19"/>
        <v>21.279999999999998</v>
      </c>
      <c r="AQ15" s="69">
        <f t="shared" si="20"/>
        <v>0.32999999999999985</v>
      </c>
      <c r="AR15" s="59">
        <f t="shared" si="32"/>
        <v>22.4</v>
      </c>
      <c r="AS15" s="132">
        <f t="shared" si="33"/>
        <v>31.359999999999996</v>
      </c>
      <c r="AT15" s="135">
        <f t="shared" si="34"/>
        <v>0.39999999999999991</v>
      </c>
      <c r="AU15" s="59">
        <f t="shared" si="21"/>
        <v>29.791999999999994</v>
      </c>
      <c r="AV15" s="69">
        <f t="shared" si="22"/>
        <v>0.32999999999999985</v>
      </c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</row>
    <row r="16" spans="1:59" s="41" customFormat="1" x14ac:dyDescent="0.25">
      <c r="A16" s="150"/>
      <c r="B16" s="79" t="s">
        <v>176</v>
      </c>
      <c r="C16" s="44">
        <v>15</v>
      </c>
      <c r="D16" s="44">
        <v>23.5</v>
      </c>
      <c r="E16" s="52">
        <f t="shared" si="26"/>
        <v>0.56666666666666665</v>
      </c>
      <c r="F16" s="44">
        <v>22.5</v>
      </c>
      <c r="G16" s="44">
        <v>31.73</v>
      </c>
      <c r="H16" s="52">
        <f t="shared" si="27"/>
        <v>0.41022222222222227</v>
      </c>
      <c r="I16" s="75"/>
      <c r="J16" s="60" t="s">
        <v>105</v>
      </c>
      <c r="K16" s="110">
        <v>21.5</v>
      </c>
      <c r="L16" s="111">
        <f>(K16+K16)/(15+17)-1</f>
        <v>0.34375</v>
      </c>
      <c r="M16" s="60">
        <f t="shared" si="28"/>
        <v>21.07</v>
      </c>
      <c r="N16" s="66">
        <f t="shared" si="42"/>
        <v>0.31687500000000002</v>
      </c>
      <c r="O16" s="60">
        <v>24</v>
      </c>
      <c r="P16" s="110">
        <v>32</v>
      </c>
      <c r="Q16" s="111">
        <f t="shared" si="29"/>
        <v>0.33333333333333326</v>
      </c>
      <c r="R16" s="60">
        <f t="shared" si="9"/>
        <v>31.36</v>
      </c>
      <c r="S16" s="66">
        <f t="shared" si="10"/>
        <v>0.30666666666666664</v>
      </c>
      <c r="T16" s="75"/>
      <c r="U16" s="57" t="s">
        <v>113</v>
      </c>
      <c r="V16" s="123">
        <v>23</v>
      </c>
      <c r="W16" s="124">
        <f t="shared" si="36"/>
        <v>0.64285714285714279</v>
      </c>
      <c r="X16" s="57">
        <f t="shared" si="12"/>
        <v>21.85</v>
      </c>
      <c r="Y16" s="68">
        <f t="shared" si="37"/>
        <v>0.56071428571428572</v>
      </c>
      <c r="Z16" s="127" t="s">
        <v>114</v>
      </c>
      <c r="AA16" s="123">
        <v>34.5</v>
      </c>
      <c r="AB16" s="129">
        <f t="shared" si="38"/>
        <v>0.61403508771929816</v>
      </c>
      <c r="AC16" s="57">
        <f t="shared" si="15"/>
        <v>32.774999999999999</v>
      </c>
      <c r="AD16" s="68">
        <f t="shared" si="39"/>
        <v>0.53333333333333321</v>
      </c>
      <c r="AE16" s="75"/>
      <c r="AF16" s="58" t="s">
        <v>141</v>
      </c>
      <c r="AG16" s="58">
        <v>22</v>
      </c>
      <c r="AH16" s="46">
        <f t="shared" si="40"/>
        <v>0.62962962962962954</v>
      </c>
      <c r="AI16" s="58" t="s">
        <v>146</v>
      </c>
      <c r="AJ16" s="58">
        <v>31.5</v>
      </c>
      <c r="AK16" s="46">
        <f t="shared" si="41"/>
        <v>0.55555555555555558</v>
      </c>
      <c r="AL16" s="77"/>
      <c r="AM16" s="59">
        <v>16</v>
      </c>
      <c r="AN16" s="132">
        <f t="shared" si="30"/>
        <v>22.4</v>
      </c>
      <c r="AO16" s="133">
        <f t="shared" si="31"/>
        <v>0.39999999999999991</v>
      </c>
      <c r="AP16" s="59">
        <f t="shared" si="19"/>
        <v>21.279999999999998</v>
      </c>
      <c r="AQ16" s="69">
        <f>AP16/AM16-1</f>
        <v>0.32999999999999985</v>
      </c>
      <c r="AR16" s="59">
        <f t="shared" si="32"/>
        <v>22.4</v>
      </c>
      <c r="AS16" s="132">
        <f t="shared" si="33"/>
        <v>31.359999999999996</v>
      </c>
      <c r="AT16" s="135">
        <f t="shared" si="34"/>
        <v>0.39999999999999991</v>
      </c>
      <c r="AU16" s="59">
        <f t="shared" si="21"/>
        <v>29.791999999999994</v>
      </c>
      <c r="AV16" s="69">
        <f t="shared" si="22"/>
        <v>0.32999999999999985</v>
      </c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</row>
    <row r="17" spans="1:59" s="78" customFormat="1" ht="8.4499999999999993" customHeight="1" x14ac:dyDescent="0.25">
      <c r="A17" s="72"/>
      <c r="B17" s="73"/>
      <c r="C17" s="74"/>
      <c r="D17" s="74"/>
      <c r="E17" s="75"/>
      <c r="F17" s="74"/>
      <c r="G17" s="74"/>
      <c r="H17" s="75"/>
      <c r="I17" s="75"/>
      <c r="J17" s="74"/>
      <c r="K17" s="74"/>
      <c r="L17" s="75"/>
      <c r="M17" s="74"/>
      <c r="N17" s="75"/>
      <c r="O17" s="74"/>
      <c r="P17" s="120"/>
      <c r="Q17" s="75"/>
      <c r="R17" s="74"/>
      <c r="S17" s="75"/>
      <c r="T17" s="75"/>
      <c r="U17" s="76"/>
      <c r="V17" s="76"/>
      <c r="W17" s="77"/>
      <c r="X17" s="76"/>
      <c r="Y17" s="77"/>
      <c r="Z17" s="76"/>
      <c r="AA17" s="76"/>
      <c r="AB17" s="75"/>
      <c r="AC17" s="75"/>
      <c r="AD17" s="75"/>
      <c r="AE17" s="75"/>
      <c r="AF17" s="76"/>
      <c r="AG17" s="76"/>
      <c r="AH17" s="77"/>
      <c r="AI17" s="76"/>
      <c r="AJ17" s="76"/>
      <c r="AK17" s="77"/>
      <c r="AL17" s="77"/>
      <c r="AM17" s="76"/>
      <c r="AN17" s="76"/>
      <c r="AO17" s="77"/>
      <c r="AP17" s="76"/>
      <c r="AQ17" s="77"/>
      <c r="AR17" s="76"/>
      <c r="AS17" s="76"/>
      <c r="AT17" s="75"/>
      <c r="AU17" s="75"/>
      <c r="AV17" s="75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</row>
    <row r="18" spans="1:59" s="41" customFormat="1" x14ac:dyDescent="0.25">
      <c r="A18" s="80" t="s">
        <v>74</v>
      </c>
      <c r="B18" s="87" t="s">
        <v>90</v>
      </c>
      <c r="C18" s="100" t="s">
        <v>190</v>
      </c>
      <c r="D18" s="98" t="s">
        <v>132</v>
      </c>
      <c r="E18" s="99">
        <f>(62+65)/(38+40)-1</f>
        <v>0.62820512820512819</v>
      </c>
      <c r="F18" s="100" t="s">
        <v>159</v>
      </c>
      <c r="G18" s="100" t="s">
        <v>159</v>
      </c>
      <c r="H18" s="100" t="s">
        <v>159</v>
      </c>
      <c r="I18" s="90"/>
      <c r="J18" s="63" t="s">
        <v>162</v>
      </c>
      <c r="K18" s="113" t="s">
        <v>164</v>
      </c>
      <c r="L18" s="136">
        <f>(52+55)/(32+34)-1</f>
        <v>0.6212121212121211</v>
      </c>
      <c r="M18" s="60" t="s">
        <v>181</v>
      </c>
      <c r="N18" s="67">
        <f>(50.96+53.09)/(32+34)-1</f>
        <v>0.57651515151515165</v>
      </c>
      <c r="O18" s="63" t="s">
        <v>159</v>
      </c>
      <c r="P18" s="121" t="s">
        <v>159</v>
      </c>
      <c r="Q18" s="67" t="s">
        <v>159</v>
      </c>
      <c r="R18" s="67" t="s">
        <v>159</v>
      </c>
      <c r="S18" s="67" t="s">
        <v>159</v>
      </c>
      <c r="T18" s="90"/>
      <c r="U18" s="151" t="s">
        <v>91</v>
      </c>
      <c r="V18" s="152"/>
      <c r="W18" s="152"/>
      <c r="X18" s="152"/>
      <c r="Y18" s="152"/>
      <c r="Z18" s="152"/>
      <c r="AA18" s="152"/>
      <c r="AB18" s="152"/>
      <c r="AC18" s="152"/>
      <c r="AD18" s="153"/>
      <c r="AE18" s="95"/>
      <c r="AF18" s="104">
        <v>35.5</v>
      </c>
      <c r="AG18" s="104">
        <v>65</v>
      </c>
      <c r="AH18" s="103">
        <f>AG18/AF18-1</f>
        <v>0.83098591549295775</v>
      </c>
      <c r="AI18" s="104" t="s">
        <v>159</v>
      </c>
      <c r="AJ18" s="40" t="s">
        <v>159</v>
      </c>
      <c r="AK18" s="103" t="s">
        <v>159</v>
      </c>
      <c r="AL18" s="95"/>
      <c r="AM18" s="154" t="s">
        <v>91</v>
      </c>
      <c r="AN18" s="155"/>
      <c r="AO18" s="155"/>
      <c r="AP18" s="155"/>
      <c r="AQ18" s="155"/>
      <c r="AR18" s="155"/>
      <c r="AS18" s="155"/>
      <c r="AT18" s="155"/>
      <c r="AU18" s="155"/>
      <c r="AV18" s="155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</row>
    <row r="19" spans="1:59" s="78" customFormat="1" ht="8.4499999999999993" customHeight="1" x14ac:dyDescent="0.25">
      <c r="A19" s="93"/>
      <c r="B19" s="73"/>
      <c r="C19" s="76"/>
      <c r="D19" s="76"/>
      <c r="E19" s="77"/>
      <c r="F19" s="76"/>
      <c r="G19" s="76"/>
      <c r="H19" s="75"/>
      <c r="I19" s="75"/>
      <c r="J19" s="76"/>
      <c r="K19" s="114"/>
      <c r="L19" s="130"/>
      <c r="M19" s="74"/>
      <c r="N19" s="75"/>
      <c r="O19" s="76"/>
      <c r="P19" s="119"/>
      <c r="Q19" s="75"/>
      <c r="R19" s="74"/>
      <c r="S19" s="75"/>
      <c r="T19" s="75"/>
      <c r="U19" s="76"/>
      <c r="V19" s="76"/>
      <c r="W19" s="77"/>
      <c r="X19" s="76"/>
      <c r="Y19" s="77"/>
      <c r="Z19" s="76"/>
      <c r="AA19" s="76"/>
      <c r="AB19" s="75"/>
      <c r="AC19" s="75"/>
      <c r="AD19" s="75"/>
      <c r="AE19" s="75"/>
      <c r="AF19" s="76"/>
      <c r="AG19" s="76"/>
      <c r="AH19" s="76"/>
      <c r="AI19" s="76"/>
      <c r="AJ19" s="76"/>
      <c r="AK19" s="77"/>
      <c r="AL19" s="77"/>
      <c r="AM19" s="76"/>
      <c r="AN19" s="76"/>
      <c r="AO19" s="77"/>
      <c r="AP19" s="76"/>
      <c r="AQ19" s="77"/>
      <c r="AR19" s="76"/>
      <c r="AS19" s="76"/>
      <c r="AT19" s="75"/>
      <c r="AU19" s="75"/>
      <c r="AV19" s="75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</row>
    <row r="20" spans="1:59" s="41" customFormat="1" x14ac:dyDescent="0.25">
      <c r="A20" s="80" t="s">
        <v>67</v>
      </c>
      <c r="B20" s="87" t="s">
        <v>90</v>
      </c>
      <c r="C20" s="100" t="s">
        <v>191</v>
      </c>
      <c r="D20" s="98" t="s">
        <v>131</v>
      </c>
      <c r="E20" s="99">
        <f>(30+35)/(18.75+21)-1</f>
        <v>0.6352201257861636</v>
      </c>
      <c r="F20" s="100" t="s">
        <v>159</v>
      </c>
      <c r="G20" s="100" t="s">
        <v>159</v>
      </c>
      <c r="H20" s="100" t="s">
        <v>159</v>
      </c>
      <c r="I20" s="90"/>
      <c r="J20" s="63">
        <v>16</v>
      </c>
      <c r="K20" s="113" t="s">
        <v>165</v>
      </c>
      <c r="L20" s="136">
        <f>(23+27)/(16+16)-1</f>
        <v>0.5625</v>
      </c>
      <c r="M20" s="63" t="s">
        <v>182</v>
      </c>
      <c r="N20" s="67">
        <f>(22.54+26.46)/(16+16)-1</f>
        <v>0.53125</v>
      </c>
      <c r="O20" s="63" t="s">
        <v>159</v>
      </c>
      <c r="P20" s="121" t="s">
        <v>159</v>
      </c>
      <c r="Q20" s="67" t="s">
        <v>159</v>
      </c>
      <c r="R20" s="67" t="s">
        <v>159</v>
      </c>
      <c r="S20" s="67" t="s">
        <v>159</v>
      </c>
      <c r="T20" s="90"/>
      <c r="U20" s="151" t="s">
        <v>91</v>
      </c>
      <c r="V20" s="152"/>
      <c r="W20" s="152"/>
      <c r="X20" s="152"/>
      <c r="Y20" s="152"/>
      <c r="Z20" s="152"/>
      <c r="AA20" s="152"/>
      <c r="AB20" s="152"/>
      <c r="AC20" s="152"/>
      <c r="AD20" s="153"/>
      <c r="AE20" s="95"/>
      <c r="AF20" s="104">
        <v>14</v>
      </c>
      <c r="AG20" s="104">
        <v>25</v>
      </c>
      <c r="AH20" s="103">
        <f t="shared" ref="AH20" si="43">AG20/AF20-1</f>
        <v>0.78571428571428581</v>
      </c>
      <c r="AI20" s="104" t="s">
        <v>159</v>
      </c>
      <c r="AJ20" s="40" t="s">
        <v>159</v>
      </c>
      <c r="AK20" s="103" t="s">
        <v>159</v>
      </c>
      <c r="AL20" s="95"/>
      <c r="AM20" s="47" t="s">
        <v>189</v>
      </c>
      <c r="AN20" s="134" t="s">
        <v>161</v>
      </c>
      <c r="AO20" s="137">
        <f>(21+31.9)/(14+21)-1</f>
        <v>0.51142857142857134</v>
      </c>
      <c r="AP20" s="47" t="s">
        <v>188</v>
      </c>
      <c r="AQ20" s="70">
        <f>(19.95+30.31)/(14+21)-1</f>
        <v>0.43599999999999994</v>
      </c>
      <c r="AR20" s="47" t="s">
        <v>159</v>
      </c>
      <c r="AS20" s="47" t="s">
        <v>159</v>
      </c>
      <c r="AT20" s="70" t="s">
        <v>159</v>
      </c>
      <c r="AU20" s="70" t="s">
        <v>159</v>
      </c>
      <c r="AV20" s="70" t="s">
        <v>159</v>
      </c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</row>
    <row r="21" spans="1:59" s="78" customFormat="1" ht="8.4499999999999993" customHeight="1" thickBot="1" x14ac:dyDescent="0.3">
      <c r="A21" s="93"/>
      <c r="B21" s="73"/>
      <c r="C21" s="76"/>
      <c r="D21" s="76"/>
      <c r="E21" s="77"/>
      <c r="F21" s="76"/>
      <c r="G21" s="76"/>
      <c r="H21" s="75"/>
      <c r="I21" s="75"/>
      <c r="J21" s="76"/>
      <c r="K21" s="114"/>
      <c r="L21" s="130"/>
      <c r="M21" s="74"/>
      <c r="N21" s="75"/>
      <c r="O21" s="76"/>
      <c r="P21" s="119"/>
      <c r="Q21" s="75"/>
      <c r="R21" s="74"/>
      <c r="S21" s="75"/>
      <c r="T21" s="75"/>
      <c r="U21" s="76"/>
      <c r="V21" s="76"/>
      <c r="W21" s="77"/>
      <c r="X21" s="76"/>
      <c r="Y21" s="77"/>
      <c r="Z21" s="76"/>
      <c r="AA21" s="76"/>
      <c r="AB21" s="75"/>
      <c r="AC21" s="75"/>
      <c r="AD21" s="75"/>
      <c r="AE21" s="75"/>
      <c r="AF21" s="76"/>
      <c r="AG21" s="76"/>
      <c r="AH21" s="77"/>
      <c r="AI21" s="76"/>
      <c r="AJ21" s="76"/>
      <c r="AK21" s="77"/>
      <c r="AL21" s="77"/>
      <c r="AM21" s="76"/>
      <c r="AN21" s="76"/>
      <c r="AO21" s="77"/>
      <c r="AP21" s="76"/>
      <c r="AQ21" s="77"/>
      <c r="AR21" s="76"/>
      <c r="AS21" s="76"/>
      <c r="AT21" s="75"/>
      <c r="AU21" s="75"/>
      <c r="AV21" s="75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</row>
    <row r="22" spans="1:59" s="48" customFormat="1" ht="15.75" thickBot="1" x14ac:dyDescent="0.3">
      <c r="A22" s="80" t="s">
        <v>82</v>
      </c>
      <c r="B22" s="87" t="s">
        <v>90</v>
      </c>
      <c r="C22" s="145" t="s">
        <v>91</v>
      </c>
      <c r="D22" s="146"/>
      <c r="E22" s="146"/>
      <c r="F22" s="146"/>
      <c r="G22" s="146"/>
      <c r="H22" s="147"/>
      <c r="I22" s="91"/>
      <c r="J22" s="63">
        <v>34</v>
      </c>
      <c r="K22" s="116" t="s">
        <v>86</v>
      </c>
      <c r="L22" s="136">
        <f>53/34-1</f>
        <v>0.55882352941176472</v>
      </c>
      <c r="M22" s="60">
        <f>53-(53*0.02)</f>
        <v>51.94</v>
      </c>
      <c r="N22" s="67">
        <f>M22/J22-1</f>
        <v>0.52764705882352936</v>
      </c>
      <c r="O22" s="63">
        <v>51</v>
      </c>
      <c r="P22" s="122" t="s">
        <v>87</v>
      </c>
      <c r="Q22" s="136">
        <f>79.5/51-1</f>
        <v>0.55882352941176472</v>
      </c>
      <c r="R22" s="60">
        <f>79.5-(79.5*0.02)</f>
        <v>77.91</v>
      </c>
      <c r="S22" s="67">
        <f>R22/O22-1</f>
        <v>0.52764705882352936</v>
      </c>
      <c r="T22" s="90"/>
      <c r="U22" s="151" t="s">
        <v>91</v>
      </c>
      <c r="V22" s="152"/>
      <c r="W22" s="152"/>
      <c r="X22" s="152"/>
      <c r="Y22" s="152"/>
      <c r="Z22" s="152"/>
      <c r="AA22" s="152"/>
      <c r="AB22" s="152"/>
      <c r="AC22" s="152"/>
      <c r="AD22" s="153"/>
      <c r="AE22" s="95"/>
      <c r="AF22" s="62" t="s">
        <v>167</v>
      </c>
      <c r="AG22" s="104">
        <v>53</v>
      </c>
      <c r="AH22" s="103">
        <f>(AG22+AG22)/(30+33)-1</f>
        <v>0.68253968253968256</v>
      </c>
      <c r="AI22" s="107" t="s">
        <v>168</v>
      </c>
      <c r="AJ22" s="40">
        <v>53</v>
      </c>
      <c r="AK22" s="103">
        <f>(AJ22+AJ22)/(30+33)-1</f>
        <v>0.68253968253968256</v>
      </c>
      <c r="AL22" s="95"/>
      <c r="AM22" s="154" t="s">
        <v>91</v>
      </c>
      <c r="AN22" s="155"/>
      <c r="AO22" s="155"/>
      <c r="AP22" s="155"/>
      <c r="AQ22" s="155"/>
      <c r="AR22" s="155"/>
      <c r="AS22" s="155"/>
      <c r="AT22" s="155"/>
      <c r="AU22" s="155"/>
      <c r="AV22" s="155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</row>
    <row r="23" spans="1:59" s="49" customFormat="1" x14ac:dyDescent="0.25">
      <c r="A23" s="80" t="s">
        <v>83</v>
      </c>
      <c r="B23" s="87" t="s">
        <v>90</v>
      </c>
      <c r="C23" s="145" t="s">
        <v>91</v>
      </c>
      <c r="D23" s="146"/>
      <c r="E23" s="146"/>
      <c r="F23" s="146"/>
      <c r="G23" s="146"/>
      <c r="H23" s="147"/>
      <c r="I23" s="91"/>
      <c r="J23" s="63">
        <v>37</v>
      </c>
      <c r="K23" s="116" t="s">
        <v>88</v>
      </c>
      <c r="L23" s="136">
        <f t="shared" ref="L23:L25" si="44">53/34-1</f>
        <v>0.55882352941176472</v>
      </c>
      <c r="M23" s="60">
        <f>58-(58*0.02)</f>
        <v>56.84</v>
      </c>
      <c r="N23" s="67">
        <f t="shared" ref="N23:N25" si="45">M23/J23-1</f>
        <v>0.53621621621621629</v>
      </c>
      <c r="O23" s="63">
        <v>55.5</v>
      </c>
      <c r="P23" s="122">
        <v>87</v>
      </c>
      <c r="Q23" s="136">
        <f t="shared" ref="Q23:Q25" si="46">79.5/51-1</f>
        <v>0.55882352941176472</v>
      </c>
      <c r="R23" s="63">
        <f>P23-(P23*0.02)</f>
        <v>85.26</v>
      </c>
      <c r="S23" s="67">
        <f t="shared" ref="S23:S25" si="47">R23/O23-1</f>
        <v>0.53621621621621629</v>
      </c>
      <c r="T23" s="90"/>
      <c r="U23" s="151" t="s">
        <v>91</v>
      </c>
      <c r="V23" s="152"/>
      <c r="W23" s="152"/>
      <c r="X23" s="152"/>
      <c r="Y23" s="152"/>
      <c r="Z23" s="152"/>
      <c r="AA23" s="152"/>
      <c r="AB23" s="152"/>
      <c r="AC23" s="152"/>
      <c r="AD23" s="153"/>
      <c r="AE23" s="95"/>
      <c r="AF23" s="107" t="s">
        <v>169</v>
      </c>
      <c r="AG23" s="61">
        <v>75</v>
      </c>
      <c r="AH23" s="103">
        <f>(AG23+AG23)/(40+44)-1</f>
        <v>0.78571428571428581</v>
      </c>
      <c r="AI23" s="107" t="s">
        <v>170</v>
      </c>
      <c r="AJ23" s="108">
        <v>112.5</v>
      </c>
      <c r="AK23" s="103">
        <f>(AJ23+AJ23)/(60+66)-1</f>
        <v>0.78571428571428581</v>
      </c>
      <c r="AL23" s="95"/>
      <c r="AM23" s="154" t="s">
        <v>91</v>
      </c>
      <c r="AN23" s="155"/>
      <c r="AO23" s="155"/>
      <c r="AP23" s="155"/>
      <c r="AQ23" s="155"/>
      <c r="AR23" s="155"/>
      <c r="AS23" s="155"/>
      <c r="AT23" s="155"/>
      <c r="AU23" s="155"/>
      <c r="AV23" s="155"/>
    </row>
    <row r="24" spans="1:59" s="49" customFormat="1" x14ac:dyDescent="0.25">
      <c r="A24" s="80" t="s">
        <v>84</v>
      </c>
      <c r="B24" s="87" t="s">
        <v>90</v>
      </c>
      <c r="C24" s="145" t="s">
        <v>91</v>
      </c>
      <c r="D24" s="146"/>
      <c r="E24" s="146"/>
      <c r="F24" s="146"/>
      <c r="G24" s="146"/>
      <c r="H24" s="147"/>
      <c r="I24" s="91"/>
      <c r="J24" s="63">
        <v>47</v>
      </c>
      <c r="K24" s="116" t="s">
        <v>89</v>
      </c>
      <c r="L24" s="136">
        <f t="shared" si="44"/>
        <v>0.55882352941176472</v>
      </c>
      <c r="M24" s="60">
        <f>74-(74*0.02)</f>
        <v>72.52</v>
      </c>
      <c r="N24" s="67">
        <f t="shared" si="45"/>
        <v>0.54297872340425513</v>
      </c>
      <c r="O24" s="63">
        <v>70.5</v>
      </c>
      <c r="P24" s="122">
        <v>111</v>
      </c>
      <c r="Q24" s="136">
        <f t="shared" si="46"/>
        <v>0.55882352941176472</v>
      </c>
      <c r="R24" s="63">
        <f t="shared" ref="R24:R25" si="48">P24-(P24*0.02)</f>
        <v>108.78</v>
      </c>
      <c r="S24" s="67">
        <f t="shared" si="47"/>
        <v>0.54297872340425535</v>
      </c>
      <c r="T24" s="90"/>
      <c r="U24" s="151" t="s">
        <v>91</v>
      </c>
      <c r="V24" s="152"/>
      <c r="W24" s="152"/>
      <c r="X24" s="152"/>
      <c r="Y24" s="152"/>
      <c r="Z24" s="152"/>
      <c r="AA24" s="152"/>
      <c r="AB24" s="152"/>
      <c r="AC24" s="152"/>
      <c r="AD24" s="153"/>
      <c r="AE24" s="95"/>
      <c r="AF24" s="107" t="s">
        <v>171</v>
      </c>
      <c r="AG24" s="61">
        <v>81</v>
      </c>
      <c r="AH24" s="103">
        <f>(AG24+AG24)/(45+48)-1</f>
        <v>0.74193548387096775</v>
      </c>
      <c r="AI24" s="107" t="s">
        <v>172</v>
      </c>
      <c r="AJ24" s="108">
        <v>121.5</v>
      </c>
      <c r="AK24" s="103">
        <f>(AJ24+AJ24)/(67.5+72)-1</f>
        <v>0.74193548387096775</v>
      </c>
      <c r="AL24" s="95"/>
      <c r="AM24" s="154" t="s">
        <v>91</v>
      </c>
      <c r="AN24" s="155"/>
      <c r="AO24" s="155"/>
      <c r="AP24" s="155"/>
      <c r="AQ24" s="155"/>
      <c r="AR24" s="155"/>
      <c r="AS24" s="155"/>
      <c r="AT24" s="155"/>
      <c r="AU24" s="155"/>
      <c r="AV24" s="155"/>
    </row>
    <row r="25" spans="1:59" s="49" customFormat="1" x14ac:dyDescent="0.25">
      <c r="A25" s="80" t="s">
        <v>85</v>
      </c>
      <c r="B25" s="87" t="s">
        <v>90</v>
      </c>
      <c r="C25" s="145" t="s">
        <v>91</v>
      </c>
      <c r="D25" s="146"/>
      <c r="E25" s="146"/>
      <c r="F25" s="146"/>
      <c r="G25" s="146"/>
      <c r="H25" s="147"/>
      <c r="I25" s="91"/>
      <c r="J25" s="63">
        <v>57</v>
      </c>
      <c r="K25" s="116">
        <v>89</v>
      </c>
      <c r="L25" s="136">
        <f t="shared" si="44"/>
        <v>0.55882352941176472</v>
      </c>
      <c r="M25" s="60">
        <f t="shared" ref="M25" si="49">K25-(K25*0.02)</f>
        <v>87.22</v>
      </c>
      <c r="N25" s="67">
        <f t="shared" si="45"/>
        <v>0.53017543859649119</v>
      </c>
      <c r="O25" s="63">
        <v>85.5</v>
      </c>
      <c r="P25" s="122">
        <v>133.5</v>
      </c>
      <c r="Q25" s="136">
        <f t="shared" si="46"/>
        <v>0.55882352941176472</v>
      </c>
      <c r="R25" s="63">
        <f t="shared" si="48"/>
        <v>130.83000000000001</v>
      </c>
      <c r="S25" s="67">
        <f t="shared" si="47"/>
        <v>0.53017543859649141</v>
      </c>
      <c r="T25" s="90"/>
      <c r="U25" s="151" t="s">
        <v>91</v>
      </c>
      <c r="V25" s="152"/>
      <c r="W25" s="152"/>
      <c r="X25" s="152"/>
      <c r="Y25" s="152"/>
      <c r="Z25" s="152"/>
      <c r="AA25" s="152"/>
      <c r="AB25" s="152"/>
      <c r="AC25" s="152"/>
      <c r="AD25" s="153"/>
      <c r="AE25" s="95"/>
      <c r="AF25" s="107" t="s">
        <v>173</v>
      </c>
      <c r="AG25" s="61">
        <v>87</v>
      </c>
      <c r="AH25" s="103">
        <f>(AG25+AG25)/(49+52)-1</f>
        <v>0.72277227722772275</v>
      </c>
      <c r="AI25" s="107" t="s">
        <v>174</v>
      </c>
      <c r="AJ25" s="108">
        <v>130.5</v>
      </c>
      <c r="AK25" s="103">
        <f>(AJ25+AJ25)/(73.5+78)-1</f>
        <v>0.72277227722772275</v>
      </c>
      <c r="AL25" s="95"/>
      <c r="AM25" s="154" t="s">
        <v>91</v>
      </c>
      <c r="AN25" s="155"/>
      <c r="AO25" s="155"/>
      <c r="AP25" s="155"/>
      <c r="AQ25" s="155"/>
      <c r="AR25" s="155"/>
      <c r="AS25" s="155"/>
      <c r="AT25" s="155"/>
      <c r="AU25" s="155"/>
      <c r="AV25" s="155"/>
    </row>
    <row r="26" spans="1:59" s="78" customFormat="1" ht="8.4499999999999993" customHeight="1" x14ac:dyDescent="0.25">
      <c r="A26" s="93"/>
      <c r="B26" s="73"/>
      <c r="C26" s="76"/>
      <c r="D26" s="76"/>
      <c r="E26" s="77"/>
      <c r="F26" s="76"/>
      <c r="G26" s="76"/>
      <c r="H26" s="75"/>
      <c r="I26" s="75"/>
      <c r="J26" s="76"/>
      <c r="K26" s="114"/>
      <c r="L26" s="130"/>
      <c r="M26" s="74"/>
      <c r="N26" s="75"/>
      <c r="O26" s="76"/>
      <c r="P26" s="119"/>
      <c r="Q26" s="75"/>
      <c r="R26" s="74"/>
      <c r="S26" s="75"/>
      <c r="T26" s="75"/>
      <c r="U26" s="76"/>
      <c r="V26" s="76"/>
      <c r="W26" s="77"/>
      <c r="X26" s="76"/>
      <c r="Y26" s="77"/>
      <c r="Z26" s="76"/>
      <c r="AA26" s="76"/>
      <c r="AB26" s="75"/>
      <c r="AC26" s="75"/>
      <c r="AD26" s="75"/>
      <c r="AE26" s="75"/>
      <c r="AF26" s="105"/>
      <c r="AG26" s="105"/>
      <c r="AH26" s="106"/>
      <c r="AI26" s="105"/>
      <c r="AJ26" s="105"/>
      <c r="AK26" s="106"/>
      <c r="AL26" s="77"/>
      <c r="AM26" s="76"/>
      <c r="AN26" s="76"/>
      <c r="AO26" s="77"/>
      <c r="AP26" s="76"/>
      <c r="AQ26" s="77"/>
      <c r="AR26" s="76"/>
      <c r="AS26" s="76"/>
      <c r="AT26" s="75"/>
      <c r="AU26" s="75"/>
      <c r="AV26" s="75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</row>
    <row r="27" spans="1:59" s="41" customFormat="1" x14ac:dyDescent="0.25">
      <c r="A27" s="82" t="s">
        <v>68</v>
      </c>
      <c r="B27" s="87" t="s">
        <v>90</v>
      </c>
      <c r="C27" s="97"/>
      <c r="D27" s="100" t="s">
        <v>132</v>
      </c>
      <c r="E27" s="99"/>
      <c r="F27" s="100" t="s">
        <v>159</v>
      </c>
      <c r="G27" s="100" t="s">
        <v>159</v>
      </c>
      <c r="H27" s="100" t="s">
        <v>159</v>
      </c>
      <c r="I27" s="90"/>
      <c r="J27" s="63" t="s">
        <v>163</v>
      </c>
      <c r="K27" s="113" t="s">
        <v>166</v>
      </c>
      <c r="L27" s="136">
        <f>(58+65)/(36+40)-1</f>
        <v>0.61842105263157898</v>
      </c>
      <c r="M27" s="63" t="s">
        <v>183</v>
      </c>
      <c r="N27" s="67">
        <f>(56.84+63.7)/(36+40)-1</f>
        <v>0.58605263157894738</v>
      </c>
      <c r="O27" s="63" t="s">
        <v>159</v>
      </c>
      <c r="P27" s="121" t="s">
        <v>159</v>
      </c>
      <c r="Q27" s="67" t="s">
        <v>159</v>
      </c>
      <c r="R27" s="67" t="s">
        <v>159</v>
      </c>
      <c r="S27" s="67" t="s">
        <v>159</v>
      </c>
      <c r="T27" s="90"/>
      <c r="U27" s="151" t="s">
        <v>91</v>
      </c>
      <c r="V27" s="152"/>
      <c r="W27" s="152"/>
      <c r="X27" s="152"/>
      <c r="Y27" s="152"/>
      <c r="Z27" s="152"/>
      <c r="AA27" s="152"/>
      <c r="AB27" s="152"/>
      <c r="AC27" s="152"/>
      <c r="AD27" s="153"/>
      <c r="AE27" s="95"/>
      <c r="AF27" s="104">
        <v>41.5</v>
      </c>
      <c r="AG27" s="104">
        <v>74</v>
      </c>
      <c r="AH27" s="103">
        <f t="shared" ref="AH27" si="50">AG27/AF27-1</f>
        <v>0.7831325301204819</v>
      </c>
      <c r="AI27" s="104" t="s">
        <v>159</v>
      </c>
      <c r="AJ27" s="40" t="s">
        <v>159</v>
      </c>
      <c r="AK27" s="103" t="s">
        <v>159</v>
      </c>
      <c r="AL27" s="95"/>
      <c r="AM27" s="154" t="s">
        <v>91</v>
      </c>
      <c r="AN27" s="155"/>
      <c r="AO27" s="155"/>
      <c r="AP27" s="155"/>
      <c r="AQ27" s="155"/>
      <c r="AR27" s="155"/>
      <c r="AS27" s="155"/>
      <c r="AT27" s="155"/>
      <c r="AU27" s="155"/>
      <c r="AV27" s="155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</row>
    <row r="28" spans="1:59" s="78" customFormat="1" ht="8.4499999999999993" customHeight="1" x14ac:dyDescent="0.25">
      <c r="A28" s="93"/>
      <c r="B28" s="73"/>
      <c r="C28" s="76"/>
      <c r="D28" s="76"/>
      <c r="E28" s="77"/>
      <c r="F28" s="76"/>
      <c r="G28" s="76"/>
      <c r="H28" s="75"/>
      <c r="I28" s="75"/>
      <c r="J28" s="76"/>
      <c r="K28" s="114"/>
      <c r="L28" s="130"/>
      <c r="M28" s="74"/>
      <c r="N28" s="75"/>
      <c r="O28" s="76"/>
      <c r="P28" s="119"/>
      <c r="Q28" s="75"/>
      <c r="R28" s="74"/>
      <c r="S28" s="75"/>
      <c r="T28" s="75"/>
      <c r="U28" s="76"/>
      <c r="V28" s="76"/>
      <c r="W28" s="77"/>
      <c r="X28" s="76"/>
      <c r="Y28" s="77"/>
      <c r="Z28" s="76"/>
      <c r="AA28" s="76"/>
      <c r="AB28" s="75"/>
      <c r="AC28" s="75"/>
      <c r="AD28" s="75"/>
      <c r="AE28" s="75"/>
      <c r="AF28" s="76"/>
      <c r="AG28" s="76"/>
      <c r="AH28" s="77"/>
      <c r="AI28" s="76"/>
      <c r="AJ28" s="76"/>
      <c r="AK28" s="77"/>
      <c r="AL28" s="77"/>
      <c r="AM28" s="76"/>
      <c r="AN28" s="76"/>
      <c r="AO28" s="77"/>
      <c r="AP28" s="76"/>
      <c r="AQ28" s="77"/>
      <c r="AR28" s="76"/>
      <c r="AS28" s="76"/>
      <c r="AT28" s="75"/>
      <c r="AU28" s="75"/>
      <c r="AV28" s="75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</row>
    <row r="29" spans="1:59" s="33" customFormat="1" x14ac:dyDescent="0.25">
      <c r="A29" s="80" t="s">
        <v>73</v>
      </c>
      <c r="B29" s="87" t="s">
        <v>90</v>
      </c>
      <c r="C29" s="100">
        <v>60</v>
      </c>
      <c r="D29" s="109">
        <v>95</v>
      </c>
      <c r="E29" s="53">
        <f>D29/C29-1</f>
        <v>0.58333333333333326</v>
      </c>
      <c r="F29" s="100" t="s">
        <v>159</v>
      </c>
      <c r="G29" s="100" t="s">
        <v>159</v>
      </c>
      <c r="H29" s="100" t="s">
        <v>159</v>
      </c>
      <c r="I29" s="90"/>
      <c r="J29" s="63" t="s">
        <v>160</v>
      </c>
      <c r="K29" s="117">
        <v>95</v>
      </c>
      <c r="L29" s="111">
        <f>(K29+K29)/(58+62)-1</f>
        <v>0.58333333333333326</v>
      </c>
      <c r="M29" s="60">
        <f>K29 - (K29*0.02)</f>
        <v>93.1</v>
      </c>
      <c r="N29" s="66">
        <f>(M29+M29)/(58+62)-1</f>
        <v>0.55166666666666653</v>
      </c>
      <c r="O29" s="63" t="s">
        <v>159</v>
      </c>
      <c r="P29" s="121" t="s">
        <v>159</v>
      </c>
      <c r="Q29" s="67" t="s">
        <v>159</v>
      </c>
      <c r="R29" s="67" t="s">
        <v>159</v>
      </c>
      <c r="S29" s="67" t="s">
        <v>159</v>
      </c>
      <c r="T29" s="90"/>
      <c r="U29" s="151" t="s">
        <v>91</v>
      </c>
      <c r="V29" s="152"/>
      <c r="W29" s="152"/>
      <c r="X29" s="152"/>
      <c r="Y29" s="152"/>
      <c r="Z29" s="152"/>
      <c r="AA29" s="152"/>
      <c r="AB29" s="152"/>
      <c r="AC29" s="152"/>
      <c r="AD29" s="153"/>
      <c r="AE29" s="95"/>
      <c r="AF29" s="165" t="s">
        <v>92</v>
      </c>
      <c r="AG29" s="166"/>
      <c r="AH29" s="166"/>
      <c r="AI29" s="166"/>
      <c r="AJ29" s="166"/>
      <c r="AK29" s="167"/>
      <c r="AL29" s="95"/>
      <c r="AM29" s="154" t="s">
        <v>91</v>
      </c>
      <c r="AN29" s="155"/>
      <c r="AO29" s="155"/>
      <c r="AP29" s="155"/>
      <c r="AQ29" s="155"/>
      <c r="AR29" s="155"/>
      <c r="AS29" s="155"/>
      <c r="AT29" s="155"/>
      <c r="AU29" s="155"/>
      <c r="AV29" s="155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</row>
    <row r="30" spans="1:59" s="78" customFormat="1" ht="8.4499999999999993" customHeight="1" x14ac:dyDescent="0.25">
      <c r="A30" s="93"/>
      <c r="B30" s="73"/>
      <c r="C30" s="76"/>
      <c r="D30" s="76"/>
      <c r="E30" s="77"/>
      <c r="F30" s="76"/>
      <c r="G30" s="76"/>
      <c r="H30" s="75"/>
      <c r="I30" s="75"/>
      <c r="J30" s="76"/>
      <c r="K30" s="114"/>
      <c r="L30" s="130"/>
      <c r="M30" s="74"/>
      <c r="N30" s="75"/>
      <c r="O30" s="76"/>
      <c r="P30" s="119"/>
      <c r="Q30" s="75"/>
      <c r="R30" s="74"/>
      <c r="S30" s="75"/>
      <c r="T30" s="75"/>
      <c r="U30" s="76"/>
      <c r="V30" s="76"/>
      <c r="W30" s="77"/>
      <c r="X30" s="76"/>
      <c r="Y30" s="77"/>
      <c r="Z30" s="76"/>
      <c r="AA30" s="76"/>
      <c r="AB30" s="75"/>
      <c r="AC30" s="75"/>
      <c r="AD30" s="75"/>
      <c r="AE30" s="75"/>
      <c r="AF30" s="76"/>
      <c r="AG30" s="76"/>
      <c r="AH30" s="77"/>
      <c r="AI30" s="76"/>
      <c r="AJ30" s="76"/>
      <c r="AK30" s="77"/>
      <c r="AL30" s="77"/>
      <c r="AM30" s="76"/>
      <c r="AN30" s="76"/>
      <c r="AO30" s="77"/>
      <c r="AP30" s="76"/>
      <c r="AQ30" s="77"/>
      <c r="AR30" s="76"/>
      <c r="AS30" s="76"/>
      <c r="AT30" s="75"/>
      <c r="AU30" s="75"/>
      <c r="AV30" s="75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</row>
    <row r="31" spans="1:59" s="41" customFormat="1" x14ac:dyDescent="0.25">
      <c r="A31" s="142" t="s">
        <v>155</v>
      </c>
      <c r="B31" s="79" t="s">
        <v>119</v>
      </c>
      <c r="C31" s="44">
        <v>26</v>
      </c>
      <c r="D31" s="44">
        <v>40.5</v>
      </c>
      <c r="E31" s="52">
        <f t="shared" ref="E31:E36" si="51">(D31/C31)-1</f>
        <v>0.55769230769230771</v>
      </c>
      <c r="F31" s="44">
        <v>39</v>
      </c>
      <c r="G31" s="44">
        <v>54.68</v>
      </c>
      <c r="H31" s="52">
        <f t="shared" ref="H31:H36" si="52">G31/F31-1</f>
        <v>0.40205128205128204</v>
      </c>
      <c r="I31" s="75"/>
      <c r="J31" s="60" t="s">
        <v>99</v>
      </c>
      <c r="K31" s="118">
        <v>37</v>
      </c>
      <c r="L31" s="111">
        <f>(K31+K31)/(25+28)-1</f>
        <v>0.39622641509433953</v>
      </c>
      <c r="M31" s="60">
        <f>K31 - (K31*0.02)</f>
        <v>36.26</v>
      </c>
      <c r="N31" s="66">
        <f>(M31+M31)/(25+28)-1</f>
        <v>0.36830188679245279</v>
      </c>
      <c r="O31" s="60">
        <v>42</v>
      </c>
      <c r="P31" s="110">
        <v>54.75</v>
      </c>
      <c r="Q31" s="111">
        <f t="shared" ref="Q31:Q36" si="53">P31/O31-1</f>
        <v>0.3035714285714286</v>
      </c>
      <c r="R31" s="60">
        <f>P31-(P31*0.02)</f>
        <v>53.655000000000001</v>
      </c>
      <c r="S31" s="66">
        <f t="shared" ref="S31:S52" si="54">R31/O31-1</f>
        <v>0.27750000000000008</v>
      </c>
      <c r="T31" s="75"/>
      <c r="U31" s="57" t="s">
        <v>111</v>
      </c>
      <c r="V31" s="123">
        <v>43</v>
      </c>
      <c r="W31" s="124">
        <f>(V31+V31)/(26+29)-1</f>
        <v>0.56363636363636371</v>
      </c>
      <c r="X31" s="57">
        <f t="shared" ref="X31:X36" si="55">V31-(V31*0.05)</f>
        <v>40.85</v>
      </c>
      <c r="Y31" s="68">
        <f>(X31+X31)/(26+29)-1</f>
        <v>0.48545454545454558</v>
      </c>
      <c r="Z31" s="127" t="s">
        <v>112</v>
      </c>
      <c r="AA31" s="123">
        <v>64.5</v>
      </c>
      <c r="AB31" s="129">
        <f>(AA31+AA31)/(39+43.5)-1</f>
        <v>0.56363636363636371</v>
      </c>
      <c r="AC31" s="57">
        <f t="shared" ref="AC31:AC52" si="56">AA31-(AA31*0.05)</f>
        <v>61.274999999999999</v>
      </c>
      <c r="AD31" s="68">
        <f>(AC31+AC31)/(39+43.5)-1</f>
        <v>0.48545454545454536</v>
      </c>
      <c r="AE31" s="75"/>
      <c r="AF31" s="58" t="s">
        <v>140</v>
      </c>
      <c r="AG31" s="58">
        <v>42</v>
      </c>
      <c r="AH31" s="46">
        <f>(AG31+AG31)/(25+29)-1</f>
        <v>0.55555555555555558</v>
      </c>
      <c r="AI31" s="58" t="s">
        <v>147</v>
      </c>
      <c r="AJ31" s="58">
        <v>60</v>
      </c>
      <c r="AK31" s="46">
        <f>(AJ31+AJ31)/(37.5+43.5)-1</f>
        <v>0.4814814814814814</v>
      </c>
      <c r="AL31" s="77"/>
      <c r="AM31" s="59">
        <v>28</v>
      </c>
      <c r="AN31" s="132">
        <f t="shared" ref="AN31:AN36" si="57">SUM(AM31*1.45)</f>
        <v>40.6</v>
      </c>
      <c r="AO31" s="133">
        <f t="shared" ref="AO31:AO36" si="58">AN31/AM31-1</f>
        <v>0.44999999999999996</v>
      </c>
      <c r="AP31" s="59">
        <f t="shared" ref="AP31:AP52" si="59">AN31-(AN31*0.05)</f>
        <v>38.57</v>
      </c>
      <c r="AQ31" s="69">
        <f t="shared" ref="AQ31:AQ52" si="60">AP31/AM31-1</f>
        <v>0.37749999999999995</v>
      </c>
      <c r="AR31" s="59">
        <f t="shared" ref="AR31:AR36" si="61">SUM(AN31)</f>
        <v>40.6</v>
      </c>
      <c r="AS31" s="132">
        <f t="shared" ref="AS31:AS36" si="62">SUM(AR31*1.45)</f>
        <v>58.87</v>
      </c>
      <c r="AT31" s="135">
        <f t="shared" ref="AT31:AT36" si="63">AS31/AR31-1</f>
        <v>0.44999999999999996</v>
      </c>
      <c r="AU31" s="59">
        <f t="shared" ref="AU31:AU52" si="64">AS31-(AS31*0.05)</f>
        <v>55.926499999999997</v>
      </c>
      <c r="AV31" s="69">
        <f t="shared" ref="AV31:AV52" si="65">AU31/AR31-1</f>
        <v>0.37749999999999995</v>
      </c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</row>
    <row r="32" spans="1:59" s="41" customFormat="1" x14ac:dyDescent="0.25">
      <c r="A32" s="143"/>
      <c r="B32" s="79" t="s">
        <v>120</v>
      </c>
      <c r="C32" s="44">
        <v>26</v>
      </c>
      <c r="D32" s="44">
        <v>40.5</v>
      </c>
      <c r="E32" s="52">
        <f t="shared" si="51"/>
        <v>0.55769230769230771</v>
      </c>
      <c r="F32" s="44">
        <v>39</v>
      </c>
      <c r="G32" s="44">
        <v>54.68</v>
      </c>
      <c r="H32" s="52">
        <f t="shared" si="52"/>
        <v>0.40205128205128204</v>
      </c>
      <c r="I32" s="75"/>
      <c r="J32" s="60" t="s">
        <v>101</v>
      </c>
      <c r="K32" s="118">
        <v>37.5</v>
      </c>
      <c r="L32" s="111">
        <f>(K32+K32)/(25.5+28.5)-1</f>
        <v>0.38888888888888884</v>
      </c>
      <c r="M32" s="60">
        <f t="shared" ref="M32:M52" si="66">K32 - (K32*0.02)</f>
        <v>36.75</v>
      </c>
      <c r="N32" s="66">
        <f>(M32+M32)/(25.5+28.5)-1</f>
        <v>0.36111111111111116</v>
      </c>
      <c r="O32" s="60">
        <v>42.75</v>
      </c>
      <c r="P32" s="110">
        <v>55.25</v>
      </c>
      <c r="Q32" s="111">
        <f t="shared" si="53"/>
        <v>0.29239766081871355</v>
      </c>
      <c r="R32" s="60">
        <f t="shared" ref="R32:R52" si="67">P32-(P32*0.02)</f>
        <v>54.145000000000003</v>
      </c>
      <c r="S32" s="66">
        <f t="shared" si="54"/>
        <v>0.26654970760233931</v>
      </c>
      <c r="T32" s="75"/>
      <c r="U32" s="57" t="s">
        <v>111</v>
      </c>
      <c r="V32" s="123">
        <v>43</v>
      </c>
      <c r="W32" s="124">
        <f t="shared" ref="W32:W36" si="68">(V32+V32)/(26+29)-1</f>
        <v>0.56363636363636371</v>
      </c>
      <c r="X32" s="57">
        <f t="shared" si="55"/>
        <v>40.85</v>
      </c>
      <c r="Y32" s="68">
        <f t="shared" ref="Y32:Y36" si="69">(X32+X32)/(26+29)-1</f>
        <v>0.48545454545454558</v>
      </c>
      <c r="Z32" s="127" t="s">
        <v>112</v>
      </c>
      <c r="AA32" s="123">
        <v>64.5</v>
      </c>
      <c r="AB32" s="129">
        <f t="shared" ref="AB32:AB36" si="70">(AA32+AA32)/(39+43.5)-1</f>
        <v>0.56363636363636371</v>
      </c>
      <c r="AC32" s="57">
        <f t="shared" si="56"/>
        <v>61.274999999999999</v>
      </c>
      <c r="AD32" s="68">
        <f t="shared" ref="AD32:AD36" si="71">(AC32+AC32)/(39+43.5)-1</f>
        <v>0.48545454545454536</v>
      </c>
      <c r="AE32" s="75"/>
      <c r="AF32" s="58" t="s">
        <v>140</v>
      </c>
      <c r="AG32" s="58">
        <v>42</v>
      </c>
      <c r="AH32" s="46">
        <f t="shared" ref="AH32:AH36" si="72">(AG32+AG32)/(25+29)-1</f>
        <v>0.55555555555555558</v>
      </c>
      <c r="AI32" s="58" t="s">
        <v>147</v>
      </c>
      <c r="AJ32" s="58">
        <v>60</v>
      </c>
      <c r="AK32" s="46">
        <f t="shared" ref="AK32:AK36" si="73">(AJ32+AJ32)/(37.5+43.5)-1</f>
        <v>0.4814814814814814</v>
      </c>
      <c r="AL32" s="77"/>
      <c r="AM32" s="59">
        <v>29</v>
      </c>
      <c r="AN32" s="132">
        <f t="shared" si="57"/>
        <v>42.05</v>
      </c>
      <c r="AO32" s="133">
        <f t="shared" si="58"/>
        <v>0.44999999999999996</v>
      </c>
      <c r="AP32" s="59">
        <f t="shared" si="59"/>
        <v>39.947499999999998</v>
      </c>
      <c r="AQ32" s="69">
        <f t="shared" si="60"/>
        <v>0.37749999999999995</v>
      </c>
      <c r="AR32" s="59">
        <f t="shared" si="61"/>
        <v>42.05</v>
      </c>
      <c r="AS32" s="132">
        <f t="shared" si="62"/>
        <v>60.972499999999997</v>
      </c>
      <c r="AT32" s="135">
        <f t="shared" si="63"/>
        <v>0.44999999999999996</v>
      </c>
      <c r="AU32" s="59">
        <f t="shared" si="64"/>
        <v>57.923874999999995</v>
      </c>
      <c r="AV32" s="69">
        <f t="shared" si="65"/>
        <v>0.37749999999999995</v>
      </c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</row>
    <row r="33" spans="1:59" s="41" customFormat="1" x14ac:dyDescent="0.25">
      <c r="A33" s="143"/>
      <c r="B33" s="79" t="s">
        <v>175</v>
      </c>
      <c r="C33" s="44">
        <v>26</v>
      </c>
      <c r="D33" s="44">
        <v>40.5</v>
      </c>
      <c r="E33" s="52">
        <f t="shared" si="51"/>
        <v>0.55769230769230771</v>
      </c>
      <c r="F33" s="44">
        <v>39</v>
      </c>
      <c r="G33" s="44">
        <v>54.68</v>
      </c>
      <c r="H33" s="52">
        <f t="shared" si="52"/>
        <v>0.40205128205128204</v>
      </c>
      <c r="I33" s="75"/>
      <c r="J33" s="60" t="s">
        <v>100</v>
      </c>
      <c r="K33" s="118">
        <v>37.75</v>
      </c>
      <c r="L33" s="111">
        <f>(K33+K33)/(26+29)-1</f>
        <v>0.3727272727272728</v>
      </c>
      <c r="M33" s="60">
        <f t="shared" si="66"/>
        <v>36.994999999999997</v>
      </c>
      <c r="N33" s="66">
        <f>(M33+M33)/(26+29)-1</f>
        <v>0.34527272727272718</v>
      </c>
      <c r="O33" s="60">
        <v>43.25</v>
      </c>
      <c r="P33" s="110">
        <v>56.75</v>
      </c>
      <c r="Q33" s="111">
        <f t="shared" si="53"/>
        <v>0.31213872832369938</v>
      </c>
      <c r="R33" s="60">
        <f t="shared" si="67"/>
        <v>55.615000000000002</v>
      </c>
      <c r="S33" s="66">
        <f t="shared" si="54"/>
        <v>0.28589595375722543</v>
      </c>
      <c r="T33" s="75"/>
      <c r="U33" s="57" t="s">
        <v>111</v>
      </c>
      <c r="V33" s="123">
        <v>43</v>
      </c>
      <c r="W33" s="124">
        <f t="shared" si="68"/>
        <v>0.56363636363636371</v>
      </c>
      <c r="X33" s="57">
        <f t="shared" si="55"/>
        <v>40.85</v>
      </c>
      <c r="Y33" s="68">
        <f t="shared" si="69"/>
        <v>0.48545454545454558</v>
      </c>
      <c r="Z33" s="127" t="s">
        <v>112</v>
      </c>
      <c r="AA33" s="123">
        <v>64.5</v>
      </c>
      <c r="AB33" s="129">
        <f t="shared" si="70"/>
        <v>0.56363636363636371</v>
      </c>
      <c r="AC33" s="57">
        <f t="shared" si="56"/>
        <v>61.274999999999999</v>
      </c>
      <c r="AD33" s="68">
        <f t="shared" si="71"/>
        <v>0.48545454545454536</v>
      </c>
      <c r="AE33" s="75"/>
      <c r="AF33" s="58" t="s">
        <v>140</v>
      </c>
      <c r="AG33" s="58">
        <v>42</v>
      </c>
      <c r="AH33" s="46">
        <f t="shared" si="72"/>
        <v>0.55555555555555558</v>
      </c>
      <c r="AI33" s="58" t="s">
        <v>147</v>
      </c>
      <c r="AJ33" s="58">
        <v>60</v>
      </c>
      <c r="AK33" s="46">
        <f t="shared" si="73"/>
        <v>0.4814814814814814</v>
      </c>
      <c r="AL33" s="77"/>
      <c r="AM33" s="59">
        <v>30</v>
      </c>
      <c r="AN33" s="132">
        <f t="shared" si="57"/>
        <v>43.5</v>
      </c>
      <c r="AO33" s="133">
        <f t="shared" si="58"/>
        <v>0.44999999999999996</v>
      </c>
      <c r="AP33" s="59">
        <f t="shared" si="59"/>
        <v>41.325000000000003</v>
      </c>
      <c r="AQ33" s="69">
        <f t="shared" si="60"/>
        <v>0.37750000000000017</v>
      </c>
      <c r="AR33" s="59">
        <f t="shared" si="61"/>
        <v>43.5</v>
      </c>
      <c r="AS33" s="132">
        <f t="shared" si="62"/>
        <v>63.074999999999996</v>
      </c>
      <c r="AT33" s="135">
        <f t="shared" si="63"/>
        <v>0.44999999999999996</v>
      </c>
      <c r="AU33" s="59">
        <f t="shared" si="64"/>
        <v>59.921249999999993</v>
      </c>
      <c r="AV33" s="69">
        <f t="shared" si="65"/>
        <v>0.37749999999999995</v>
      </c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</row>
    <row r="34" spans="1:59" s="41" customFormat="1" x14ac:dyDescent="0.25">
      <c r="A34" s="143"/>
      <c r="B34" s="79" t="s">
        <v>121</v>
      </c>
      <c r="C34" s="44">
        <v>28</v>
      </c>
      <c r="D34" s="44">
        <v>42.5</v>
      </c>
      <c r="E34" s="52">
        <f t="shared" si="51"/>
        <v>0.51785714285714279</v>
      </c>
      <c r="F34" s="44">
        <v>42</v>
      </c>
      <c r="G34" s="44">
        <v>57.38</v>
      </c>
      <c r="H34" s="52">
        <f t="shared" si="52"/>
        <v>0.36619047619047618</v>
      </c>
      <c r="I34" s="75"/>
      <c r="J34" s="60" t="s">
        <v>100</v>
      </c>
      <c r="K34" s="118">
        <v>37.75</v>
      </c>
      <c r="L34" s="111">
        <f>(K34+K34)/(26+29)-1</f>
        <v>0.3727272727272728</v>
      </c>
      <c r="M34" s="60">
        <f t="shared" si="66"/>
        <v>36.994999999999997</v>
      </c>
      <c r="N34" s="66">
        <f>(M34+M34)/(26+29)-1</f>
        <v>0.34527272727272718</v>
      </c>
      <c r="O34" s="60">
        <v>43.25</v>
      </c>
      <c r="P34" s="110">
        <v>55.5</v>
      </c>
      <c r="Q34" s="111">
        <f t="shared" si="53"/>
        <v>0.28323699421965309</v>
      </c>
      <c r="R34" s="60">
        <f t="shared" si="67"/>
        <v>54.39</v>
      </c>
      <c r="S34" s="66">
        <f t="shared" si="54"/>
        <v>0.2575722543352601</v>
      </c>
      <c r="T34" s="75"/>
      <c r="U34" s="57" t="s">
        <v>111</v>
      </c>
      <c r="V34" s="123">
        <v>43</v>
      </c>
      <c r="W34" s="124">
        <f t="shared" si="68"/>
        <v>0.56363636363636371</v>
      </c>
      <c r="X34" s="57">
        <f t="shared" si="55"/>
        <v>40.85</v>
      </c>
      <c r="Y34" s="68">
        <f t="shared" si="69"/>
        <v>0.48545454545454558</v>
      </c>
      <c r="Z34" s="127" t="s">
        <v>112</v>
      </c>
      <c r="AA34" s="123">
        <v>64.5</v>
      </c>
      <c r="AB34" s="129">
        <f t="shared" si="70"/>
        <v>0.56363636363636371</v>
      </c>
      <c r="AC34" s="57">
        <f t="shared" si="56"/>
        <v>61.274999999999999</v>
      </c>
      <c r="AD34" s="68">
        <f t="shared" si="71"/>
        <v>0.48545454545454536</v>
      </c>
      <c r="AE34" s="75"/>
      <c r="AF34" s="58" t="s">
        <v>140</v>
      </c>
      <c r="AG34" s="58">
        <v>42</v>
      </c>
      <c r="AH34" s="46">
        <f t="shared" si="72"/>
        <v>0.55555555555555558</v>
      </c>
      <c r="AI34" s="58" t="s">
        <v>147</v>
      </c>
      <c r="AJ34" s="58">
        <v>60</v>
      </c>
      <c r="AK34" s="46">
        <f t="shared" si="73"/>
        <v>0.4814814814814814</v>
      </c>
      <c r="AL34" s="77"/>
      <c r="AM34" s="59">
        <v>29</v>
      </c>
      <c r="AN34" s="132">
        <f t="shared" si="57"/>
        <v>42.05</v>
      </c>
      <c r="AO34" s="133">
        <f t="shared" si="58"/>
        <v>0.44999999999999996</v>
      </c>
      <c r="AP34" s="59">
        <f t="shared" si="59"/>
        <v>39.947499999999998</v>
      </c>
      <c r="AQ34" s="69">
        <f t="shared" si="60"/>
        <v>0.37749999999999995</v>
      </c>
      <c r="AR34" s="59">
        <f t="shared" si="61"/>
        <v>42.05</v>
      </c>
      <c r="AS34" s="132">
        <f t="shared" si="62"/>
        <v>60.972499999999997</v>
      </c>
      <c r="AT34" s="135">
        <f t="shared" si="63"/>
        <v>0.44999999999999996</v>
      </c>
      <c r="AU34" s="59">
        <f t="shared" si="64"/>
        <v>57.923874999999995</v>
      </c>
      <c r="AV34" s="69">
        <f t="shared" si="65"/>
        <v>0.37749999999999995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</row>
    <row r="35" spans="1:59" s="41" customFormat="1" x14ac:dyDescent="0.25">
      <c r="A35" s="143"/>
      <c r="B35" s="79" t="s">
        <v>122</v>
      </c>
      <c r="C35" s="44">
        <v>28</v>
      </c>
      <c r="D35" s="44">
        <v>42.5</v>
      </c>
      <c r="E35" s="52">
        <f t="shared" si="51"/>
        <v>0.51785714285714279</v>
      </c>
      <c r="F35" s="44">
        <v>42</v>
      </c>
      <c r="G35" s="44">
        <v>57.38</v>
      </c>
      <c r="H35" s="52">
        <f t="shared" si="52"/>
        <v>0.36619047619047618</v>
      </c>
      <c r="I35" s="75"/>
      <c r="J35" s="60" t="s">
        <v>102</v>
      </c>
      <c r="K35" s="118">
        <v>38.25</v>
      </c>
      <c r="L35" s="111">
        <f>(K35+K35)/(26.5+29.5)-1</f>
        <v>0.3660714285714286</v>
      </c>
      <c r="M35" s="60">
        <f t="shared" si="66"/>
        <v>37.484999999999999</v>
      </c>
      <c r="N35" s="66">
        <f>(M35+M35)/(26.5+29.5)-1</f>
        <v>0.33874999999999988</v>
      </c>
      <c r="O35" s="60">
        <v>44.25</v>
      </c>
      <c r="P35" s="110">
        <v>57.75</v>
      </c>
      <c r="Q35" s="111">
        <f t="shared" si="53"/>
        <v>0.30508474576271194</v>
      </c>
      <c r="R35" s="60">
        <f t="shared" si="67"/>
        <v>56.594999999999999</v>
      </c>
      <c r="S35" s="66">
        <f t="shared" si="54"/>
        <v>0.27898305084745756</v>
      </c>
      <c r="T35" s="75"/>
      <c r="U35" s="57" t="s">
        <v>111</v>
      </c>
      <c r="V35" s="123">
        <v>43</v>
      </c>
      <c r="W35" s="124">
        <f t="shared" si="68"/>
        <v>0.56363636363636371</v>
      </c>
      <c r="X35" s="57">
        <f t="shared" si="55"/>
        <v>40.85</v>
      </c>
      <c r="Y35" s="68">
        <f t="shared" si="69"/>
        <v>0.48545454545454558</v>
      </c>
      <c r="Z35" s="127" t="s">
        <v>112</v>
      </c>
      <c r="AA35" s="123">
        <v>64.5</v>
      </c>
      <c r="AB35" s="129">
        <f t="shared" si="70"/>
        <v>0.56363636363636371</v>
      </c>
      <c r="AC35" s="57">
        <f t="shared" si="56"/>
        <v>61.274999999999999</v>
      </c>
      <c r="AD35" s="68">
        <f t="shared" si="71"/>
        <v>0.48545454545454536</v>
      </c>
      <c r="AE35" s="75"/>
      <c r="AF35" s="58" t="s">
        <v>140</v>
      </c>
      <c r="AG35" s="58">
        <v>42</v>
      </c>
      <c r="AH35" s="46">
        <f t="shared" si="72"/>
        <v>0.55555555555555558</v>
      </c>
      <c r="AI35" s="58" t="s">
        <v>147</v>
      </c>
      <c r="AJ35" s="58">
        <v>60</v>
      </c>
      <c r="AK35" s="46">
        <f t="shared" si="73"/>
        <v>0.4814814814814814</v>
      </c>
      <c r="AL35" s="77"/>
      <c r="AM35" s="59">
        <v>30</v>
      </c>
      <c r="AN35" s="132">
        <f t="shared" si="57"/>
        <v>43.5</v>
      </c>
      <c r="AO35" s="133">
        <f t="shared" si="58"/>
        <v>0.44999999999999996</v>
      </c>
      <c r="AP35" s="59">
        <f t="shared" si="59"/>
        <v>41.325000000000003</v>
      </c>
      <c r="AQ35" s="69">
        <f t="shared" si="60"/>
        <v>0.37750000000000017</v>
      </c>
      <c r="AR35" s="59">
        <f t="shared" si="61"/>
        <v>43.5</v>
      </c>
      <c r="AS35" s="132">
        <f t="shared" si="62"/>
        <v>63.074999999999996</v>
      </c>
      <c r="AT35" s="135">
        <f t="shared" si="63"/>
        <v>0.44999999999999996</v>
      </c>
      <c r="AU35" s="59">
        <f t="shared" si="64"/>
        <v>59.921249999999993</v>
      </c>
      <c r="AV35" s="69">
        <f t="shared" si="65"/>
        <v>0.37749999999999995</v>
      </c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</row>
    <row r="36" spans="1:59" s="41" customFormat="1" x14ac:dyDescent="0.25">
      <c r="A36" s="144"/>
      <c r="B36" s="79" t="s">
        <v>176</v>
      </c>
      <c r="C36" s="44">
        <v>28</v>
      </c>
      <c r="D36" s="44">
        <v>42.5</v>
      </c>
      <c r="E36" s="52">
        <f t="shared" si="51"/>
        <v>0.51785714285714279</v>
      </c>
      <c r="F36" s="44">
        <v>42</v>
      </c>
      <c r="G36" s="44">
        <v>57.38</v>
      </c>
      <c r="H36" s="52">
        <f t="shared" si="52"/>
        <v>0.36619047619047618</v>
      </c>
      <c r="I36" s="75"/>
      <c r="J36" s="60" t="s">
        <v>103</v>
      </c>
      <c r="K36" s="118">
        <v>38.75</v>
      </c>
      <c r="L36" s="111">
        <f>(K36+K36)/(27+31)-1</f>
        <v>0.3362068965517242</v>
      </c>
      <c r="M36" s="60">
        <f t="shared" si="66"/>
        <v>37.975000000000001</v>
      </c>
      <c r="N36" s="66">
        <f>(M36+M36)/(27+31)-1</f>
        <v>0.30948275862068964</v>
      </c>
      <c r="O36" s="60">
        <v>45</v>
      </c>
      <c r="P36" s="110">
        <v>58.25</v>
      </c>
      <c r="Q36" s="111">
        <f t="shared" si="53"/>
        <v>0.29444444444444451</v>
      </c>
      <c r="R36" s="60">
        <f t="shared" si="67"/>
        <v>57.085000000000001</v>
      </c>
      <c r="S36" s="66">
        <f t="shared" si="54"/>
        <v>0.26855555555555566</v>
      </c>
      <c r="T36" s="75"/>
      <c r="U36" s="57" t="s">
        <v>111</v>
      </c>
      <c r="V36" s="123">
        <v>43</v>
      </c>
      <c r="W36" s="124">
        <f t="shared" si="68"/>
        <v>0.56363636363636371</v>
      </c>
      <c r="X36" s="57">
        <f t="shared" si="55"/>
        <v>40.85</v>
      </c>
      <c r="Y36" s="68">
        <f t="shared" si="69"/>
        <v>0.48545454545454558</v>
      </c>
      <c r="Z36" s="127" t="s">
        <v>112</v>
      </c>
      <c r="AA36" s="123">
        <v>64.5</v>
      </c>
      <c r="AB36" s="129">
        <f t="shared" si="70"/>
        <v>0.56363636363636371</v>
      </c>
      <c r="AC36" s="57">
        <f t="shared" si="56"/>
        <v>61.274999999999999</v>
      </c>
      <c r="AD36" s="68">
        <f t="shared" si="71"/>
        <v>0.48545454545454536</v>
      </c>
      <c r="AE36" s="75"/>
      <c r="AF36" s="58" t="s">
        <v>140</v>
      </c>
      <c r="AG36" s="58">
        <v>42</v>
      </c>
      <c r="AH36" s="46">
        <f t="shared" si="72"/>
        <v>0.55555555555555558</v>
      </c>
      <c r="AI36" s="58" t="s">
        <v>147</v>
      </c>
      <c r="AJ36" s="58">
        <v>60</v>
      </c>
      <c r="AK36" s="46">
        <f t="shared" si="73"/>
        <v>0.4814814814814814</v>
      </c>
      <c r="AL36" s="77"/>
      <c r="AM36" s="59">
        <v>31</v>
      </c>
      <c r="AN36" s="132">
        <f t="shared" si="57"/>
        <v>44.949999999999996</v>
      </c>
      <c r="AO36" s="133">
        <f t="shared" si="58"/>
        <v>0.44999999999999996</v>
      </c>
      <c r="AP36" s="59">
        <f t="shared" si="59"/>
        <v>42.702499999999993</v>
      </c>
      <c r="AQ36" s="69">
        <f t="shared" si="60"/>
        <v>0.37749999999999972</v>
      </c>
      <c r="AR36" s="59">
        <f t="shared" si="61"/>
        <v>44.949999999999996</v>
      </c>
      <c r="AS36" s="132">
        <f t="shared" si="62"/>
        <v>65.177499999999995</v>
      </c>
      <c r="AT36" s="135">
        <f t="shared" si="63"/>
        <v>0.44999999999999996</v>
      </c>
      <c r="AU36" s="59">
        <f t="shared" si="64"/>
        <v>61.918624999999992</v>
      </c>
      <c r="AV36" s="69">
        <f t="shared" si="65"/>
        <v>0.37749999999999995</v>
      </c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</row>
    <row r="37" spans="1:59" s="78" customFormat="1" ht="8.4499999999999993" customHeight="1" x14ac:dyDescent="0.25">
      <c r="A37" s="92"/>
      <c r="B37" s="73"/>
      <c r="C37" s="74"/>
      <c r="D37" s="74"/>
      <c r="E37" s="75"/>
      <c r="F37" s="74"/>
      <c r="G37" s="74"/>
      <c r="H37" s="75"/>
      <c r="I37" s="75"/>
      <c r="J37" s="74"/>
      <c r="K37" s="115"/>
      <c r="L37" s="130"/>
      <c r="M37" s="74"/>
      <c r="N37" s="75"/>
      <c r="O37" s="74"/>
      <c r="P37" s="120"/>
      <c r="Q37" s="130"/>
      <c r="R37" s="75"/>
      <c r="S37" s="75"/>
      <c r="T37" s="75"/>
      <c r="U37" s="76"/>
      <c r="V37" s="76"/>
      <c r="W37" s="77"/>
      <c r="X37" s="76"/>
      <c r="Y37" s="77"/>
      <c r="Z37" s="128"/>
      <c r="AA37" s="119"/>
      <c r="AB37" s="130"/>
      <c r="AC37" s="75"/>
      <c r="AD37" s="75"/>
      <c r="AE37" s="75"/>
      <c r="AF37" s="76"/>
      <c r="AG37" s="76"/>
      <c r="AH37" s="77"/>
      <c r="AI37" s="76"/>
      <c r="AJ37" s="76"/>
      <c r="AK37" s="77"/>
      <c r="AL37" s="77"/>
      <c r="AM37" s="76"/>
      <c r="AN37" s="119"/>
      <c r="AO37" s="126"/>
      <c r="AP37" s="77"/>
      <c r="AQ37" s="77"/>
      <c r="AR37" s="76"/>
      <c r="AS37" s="119"/>
      <c r="AT37" s="130"/>
      <c r="AU37" s="75"/>
      <c r="AV37" s="75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</row>
    <row r="38" spans="1:59" s="41" customFormat="1" x14ac:dyDescent="0.25">
      <c r="A38" s="148" t="s">
        <v>2</v>
      </c>
      <c r="B38" s="79" t="s">
        <v>119</v>
      </c>
      <c r="C38" s="109">
        <v>33</v>
      </c>
      <c r="D38" s="109">
        <v>53</v>
      </c>
      <c r="E38" s="53">
        <f>D38/C38-1</f>
        <v>0.60606060606060597</v>
      </c>
      <c r="F38" s="109">
        <v>49.5</v>
      </c>
      <c r="G38" s="109">
        <v>71.55</v>
      </c>
      <c r="H38" s="52">
        <f t="shared" ref="H38:H43" si="74">G38/F38-1</f>
        <v>0.44545454545454533</v>
      </c>
      <c r="I38" s="75"/>
      <c r="J38" s="56" t="s">
        <v>108</v>
      </c>
      <c r="K38" s="117">
        <v>49</v>
      </c>
      <c r="L38" s="111">
        <f t="shared" ref="L38:L43" si="75">(K38+K38)/(29+33)-1</f>
        <v>0.58064516129032251</v>
      </c>
      <c r="M38" s="60">
        <f t="shared" si="66"/>
        <v>48.02</v>
      </c>
      <c r="N38" s="66">
        <f>(M38+M38)/(29+33)-1</f>
        <v>0.54903225806451617</v>
      </c>
      <c r="O38" s="56">
        <v>46.5</v>
      </c>
      <c r="P38" s="112">
        <v>73.5</v>
      </c>
      <c r="Q38" s="111">
        <f t="shared" ref="Q38:Q43" si="76">P38/O38-1</f>
        <v>0.58064516129032251</v>
      </c>
      <c r="R38" s="60">
        <f t="shared" si="67"/>
        <v>72.03</v>
      </c>
      <c r="S38" s="66">
        <f t="shared" si="54"/>
        <v>0.54903225806451617</v>
      </c>
      <c r="T38" s="75"/>
      <c r="U38" s="57" t="s">
        <v>115</v>
      </c>
      <c r="V38" s="123">
        <v>54</v>
      </c>
      <c r="W38" s="124">
        <f>(V38+V38)/(33+35)-1</f>
        <v>0.58823529411764697</v>
      </c>
      <c r="X38" s="57">
        <f t="shared" ref="X38:X43" si="77">V38-(V38*0.05)</f>
        <v>51.3</v>
      </c>
      <c r="Y38" s="68">
        <f>(X38+X38)/(33+35)-1</f>
        <v>0.50882352941176467</v>
      </c>
      <c r="Z38" s="127" t="s">
        <v>116</v>
      </c>
      <c r="AA38" s="123">
        <v>81</v>
      </c>
      <c r="AB38" s="129">
        <f>(AA38+AA38)/(49.25+52.5)-1</f>
        <v>0.59213759213759221</v>
      </c>
      <c r="AC38" s="57">
        <f t="shared" si="56"/>
        <v>76.95</v>
      </c>
      <c r="AD38" s="68">
        <f>(AC38+AC38)/(49.25+52.5)-1</f>
        <v>0.51253071253071258</v>
      </c>
      <c r="AE38" s="75"/>
      <c r="AF38" s="58" t="s">
        <v>143</v>
      </c>
      <c r="AG38" s="58">
        <v>37</v>
      </c>
      <c r="AH38" s="46">
        <f>(AG38+AG38)/(25+27)-1</f>
        <v>0.42307692307692313</v>
      </c>
      <c r="AI38" s="58" t="s">
        <v>144</v>
      </c>
      <c r="AJ38" s="58">
        <v>53</v>
      </c>
      <c r="AK38" s="46">
        <f>(AJ38+AJ38)/(34.5+37.5)-1</f>
        <v>0.47222222222222232</v>
      </c>
      <c r="AL38" s="77"/>
      <c r="AM38" s="59">
        <v>26</v>
      </c>
      <c r="AN38" s="132">
        <f t="shared" si="23"/>
        <v>37.699999999999996</v>
      </c>
      <c r="AO38" s="133">
        <f t="shared" si="3"/>
        <v>0.44999999999999973</v>
      </c>
      <c r="AP38" s="59">
        <f t="shared" si="59"/>
        <v>35.814999999999998</v>
      </c>
      <c r="AQ38" s="69">
        <f t="shared" si="60"/>
        <v>0.37749999999999995</v>
      </c>
      <c r="AR38" s="59">
        <f t="shared" si="24"/>
        <v>37.699999999999996</v>
      </c>
      <c r="AS38" s="132">
        <f t="shared" si="25"/>
        <v>54.664999999999992</v>
      </c>
      <c r="AT38" s="135">
        <f t="shared" si="6"/>
        <v>0.44999999999999996</v>
      </c>
      <c r="AU38" s="59">
        <f t="shared" si="64"/>
        <v>51.931749999999994</v>
      </c>
      <c r="AV38" s="69">
        <f t="shared" si="65"/>
        <v>0.37749999999999995</v>
      </c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</row>
    <row r="39" spans="1:59" s="41" customFormat="1" x14ac:dyDescent="0.25">
      <c r="A39" s="149"/>
      <c r="B39" s="79" t="s">
        <v>120</v>
      </c>
      <c r="C39" s="109">
        <v>33</v>
      </c>
      <c r="D39" s="109">
        <v>53</v>
      </c>
      <c r="E39" s="53">
        <f t="shared" ref="E39:E43" si="78">D39/C39-1</f>
        <v>0.60606060606060597</v>
      </c>
      <c r="F39" s="109">
        <v>49.5</v>
      </c>
      <c r="G39" s="109">
        <v>71.55</v>
      </c>
      <c r="H39" s="52">
        <f t="shared" si="74"/>
        <v>0.44545454545454533</v>
      </c>
      <c r="I39" s="75"/>
      <c r="J39" s="56" t="s">
        <v>108</v>
      </c>
      <c r="K39" s="117">
        <v>49</v>
      </c>
      <c r="L39" s="111">
        <f t="shared" si="75"/>
        <v>0.58064516129032251</v>
      </c>
      <c r="M39" s="60">
        <f t="shared" si="66"/>
        <v>48.02</v>
      </c>
      <c r="N39" s="66">
        <f t="shared" ref="N39:N43" si="79">(M39+M39)/(29+33)-1</f>
        <v>0.54903225806451617</v>
      </c>
      <c r="O39" s="56">
        <v>46.5</v>
      </c>
      <c r="P39" s="112">
        <v>73.5</v>
      </c>
      <c r="Q39" s="111">
        <f t="shared" si="76"/>
        <v>0.58064516129032251</v>
      </c>
      <c r="R39" s="60">
        <f t="shared" si="67"/>
        <v>72.03</v>
      </c>
      <c r="S39" s="66">
        <f t="shared" si="54"/>
        <v>0.54903225806451617</v>
      </c>
      <c r="T39" s="75"/>
      <c r="U39" s="57" t="s">
        <v>115</v>
      </c>
      <c r="V39" s="123">
        <v>54</v>
      </c>
      <c r="W39" s="124">
        <f t="shared" ref="W39:W43" si="80">(V39+V39)/(33+35)-1</f>
        <v>0.58823529411764697</v>
      </c>
      <c r="X39" s="57">
        <f t="shared" si="77"/>
        <v>51.3</v>
      </c>
      <c r="Y39" s="68">
        <f t="shared" ref="Y39:Y43" si="81">(X39+X39)/(33+35)-1</f>
        <v>0.50882352941176467</v>
      </c>
      <c r="Z39" s="127" t="s">
        <v>116</v>
      </c>
      <c r="AA39" s="123">
        <v>81</v>
      </c>
      <c r="AB39" s="129">
        <f t="shared" ref="AB39:AB43" si="82">(AA39+AA39)/(49.25+52.5)-1</f>
        <v>0.59213759213759221</v>
      </c>
      <c r="AC39" s="57">
        <f t="shared" si="56"/>
        <v>76.95</v>
      </c>
      <c r="AD39" s="68">
        <f t="shared" ref="AD39:AD43" si="83">(AC39+AC39)/(49.25+52.5)-1</f>
        <v>0.51253071253071258</v>
      </c>
      <c r="AE39" s="75"/>
      <c r="AF39" s="58" t="s">
        <v>143</v>
      </c>
      <c r="AG39" s="58">
        <v>37</v>
      </c>
      <c r="AH39" s="46">
        <f t="shared" ref="AH39:AH43" si="84">(AG39+AG39)/(25+27)-1</f>
        <v>0.42307692307692313</v>
      </c>
      <c r="AI39" s="58" t="s">
        <v>144</v>
      </c>
      <c r="AJ39" s="58">
        <v>53</v>
      </c>
      <c r="AK39" s="46">
        <f t="shared" ref="AK39:AK43" si="85">(AJ39+AJ39)/(34.5+37.5)-1</f>
        <v>0.47222222222222232</v>
      </c>
      <c r="AL39" s="77"/>
      <c r="AM39" s="59">
        <v>27</v>
      </c>
      <c r="AN39" s="132">
        <f>SUM(AM39*1.45)</f>
        <v>39.15</v>
      </c>
      <c r="AO39" s="133">
        <f t="shared" si="3"/>
        <v>0.44999999999999996</v>
      </c>
      <c r="AP39" s="59">
        <f t="shared" si="59"/>
        <v>37.192499999999995</v>
      </c>
      <c r="AQ39" s="69">
        <f t="shared" si="60"/>
        <v>0.37749999999999972</v>
      </c>
      <c r="AR39" s="59">
        <f>SUM(AN39)</f>
        <v>39.15</v>
      </c>
      <c r="AS39" s="132">
        <f>SUM(AR39*1.45)</f>
        <v>56.767499999999998</v>
      </c>
      <c r="AT39" s="135">
        <f t="shared" si="6"/>
        <v>0.44999999999999996</v>
      </c>
      <c r="AU39" s="59">
        <f t="shared" si="64"/>
        <v>53.929124999999999</v>
      </c>
      <c r="AV39" s="69">
        <f t="shared" si="65"/>
        <v>0.37749999999999995</v>
      </c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</row>
    <row r="40" spans="1:59" s="41" customFormat="1" x14ac:dyDescent="0.25">
      <c r="A40" s="149"/>
      <c r="B40" s="79" t="s">
        <v>175</v>
      </c>
      <c r="C40" s="109">
        <v>33</v>
      </c>
      <c r="D40" s="109">
        <v>53</v>
      </c>
      <c r="E40" s="53">
        <f t="shared" si="78"/>
        <v>0.60606060606060597</v>
      </c>
      <c r="F40" s="109">
        <v>49.5</v>
      </c>
      <c r="G40" s="109">
        <v>71.55</v>
      </c>
      <c r="H40" s="52">
        <f t="shared" si="74"/>
        <v>0.44545454545454533</v>
      </c>
      <c r="I40" s="75"/>
      <c r="J40" s="56" t="s">
        <v>108</v>
      </c>
      <c r="K40" s="117">
        <v>49</v>
      </c>
      <c r="L40" s="111">
        <f t="shared" si="75"/>
        <v>0.58064516129032251</v>
      </c>
      <c r="M40" s="60">
        <f t="shared" si="66"/>
        <v>48.02</v>
      </c>
      <c r="N40" s="66">
        <f t="shared" si="79"/>
        <v>0.54903225806451617</v>
      </c>
      <c r="O40" s="56">
        <v>46.5</v>
      </c>
      <c r="P40" s="112">
        <v>73.5</v>
      </c>
      <c r="Q40" s="111">
        <f t="shared" si="76"/>
        <v>0.58064516129032251</v>
      </c>
      <c r="R40" s="60">
        <f t="shared" si="67"/>
        <v>72.03</v>
      </c>
      <c r="S40" s="66">
        <f t="shared" si="54"/>
        <v>0.54903225806451617</v>
      </c>
      <c r="T40" s="75"/>
      <c r="U40" s="57" t="s">
        <v>115</v>
      </c>
      <c r="V40" s="123">
        <v>54</v>
      </c>
      <c r="W40" s="124">
        <f t="shared" si="80"/>
        <v>0.58823529411764697</v>
      </c>
      <c r="X40" s="57">
        <f t="shared" si="77"/>
        <v>51.3</v>
      </c>
      <c r="Y40" s="68">
        <f t="shared" si="81"/>
        <v>0.50882352941176467</v>
      </c>
      <c r="Z40" s="127" t="s">
        <v>116</v>
      </c>
      <c r="AA40" s="123">
        <v>81</v>
      </c>
      <c r="AB40" s="129">
        <f t="shared" si="82"/>
        <v>0.59213759213759221</v>
      </c>
      <c r="AC40" s="57">
        <f t="shared" si="56"/>
        <v>76.95</v>
      </c>
      <c r="AD40" s="68">
        <f t="shared" si="83"/>
        <v>0.51253071253071258</v>
      </c>
      <c r="AE40" s="75"/>
      <c r="AF40" s="58" t="s">
        <v>143</v>
      </c>
      <c r="AG40" s="58">
        <v>37</v>
      </c>
      <c r="AH40" s="46">
        <f t="shared" si="84"/>
        <v>0.42307692307692313</v>
      </c>
      <c r="AI40" s="58" t="s">
        <v>144</v>
      </c>
      <c r="AJ40" s="58">
        <v>53</v>
      </c>
      <c r="AK40" s="46">
        <f t="shared" si="85"/>
        <v>0.47222222222222232</v>
      </c>
      <c r="AL40" s="77"/>
      <c r="AM40" s="59">
        <v>28</v>
      </c>
      <c r="AN40" s="132">
        <f>SUM(AM40*1.45)</f>
        <v>40.6</v>
      </c>
      <c r="AO40" s="133">
        <f t="shared" si="3"/>
        <v>0.44999999999999996</v>
      </c>
      <c r="AP40" s="59">
        <f t="shared" si="59"/>
        <v>38.57</v>
      </c>
      <c r="AQ40" s="69">
        <f t="shared" si="60"/>
        <v>0.37749999999999995</v>
      </c>
      <c r="AR40" s="59">
        <f>SUM(AN40)</f>
        <v>40.6</v>
      </c>
      <c r="AS40" s="132">
        <f>SUM(AR40*1.45)</f>
        <v>58.87</v>
      </c>
      <c r="AT40" s="135">
        <f t="shared" si="6"/>
        <v>0.44999999999999996</v>
      </c>
      <c r="AU40" s="59">
        <f t="shared" si="64"/>
        <v>55.926499999999997</v>
      </c>
      <c r="AV40" s="69">
        <f t="shared" si="65"/>
        <v>0.37749999999999995</v>
      </c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</row>
    <row r="41" spans="1:59" s="41" customFormat="1" x14ac:dyDescent="0.25">
      <c r="A41" s="149"/>
      <c r="B41" s="79" t="s">
        <v>121</v>
      </c>
      <c r="C41" s="109">
        <v>33</v>
      </c>
      <c r="D41" s="109">
        <v>53</v>
      </c>
      <c r="E41" s="53">
        <f t="shared" si="78"/>
        <v>0.60606060606060597</v>
      </c>
      <c r="F41" s="109">
        <v>49.5</v>
      </c>
      <c r="G41" s="109">
        <v>71.55</v>
      </c>
      <c r="H41" s="52">
        <f t="shared" si="74"/>
        <v>0.44545454545454533</v>
      </c>
      <c r="I41" s="75"/>
      <c r="J41" s="56" t="s">
        <v>108</v>
      </c>
      <c r="K41" s="117">
        <v>49</v>
      </c>
      <c r="L41" s="111">
        <f t="shared" si="75"/>
        <v>0.58064516129032251</v>
      </c>
      <c r="M41" s="60">
        <f t="shared" si="66"/>
        <v>48.02</v>
      </c>
      <c r="N41" s="66">
        <f t="shared" si="79"/>
        <v>0.54903225806451617</v>
      </c>
      <c r="O41" s="56">
        <v>46.5</v>
      </c>
      <c r="P41" s="112">
        <v>73.5</v>
      </c>
      <c r="Q41" s="111">
        <f t="shared" si="76"/>
        <v>0.58064516129032251</v>
      </c>
      <c r="R41" s="60">
        <f t="shared" si="67"/>
        <v>72.03</v>
      </c>
      <c r="S41" s="66">
        <f t="shared" si="54"/>
        <v>0.54903225806451617</v>
      </c>
      <c r="T41" s="75"/>
      <c r="U41" s="57" t="s">
        <v>115</v>
      </c>
      <c r="V41" s="123">
        <v>54</v>
      </c>
      <c r="W41" s="124">
        <f t="shared" si="80"/>
        <v>0.58823529411764697</v>
      </c>
      <c r="X41" s="57">
        <f t="shared" si="77"/>
        <v>51.3</v>
      </c>
      <c r="Y41" s="68">
        <f t="shared" si="81"/>
        <v>0.50882352941176467</v>
      </c>
      <c r="Z41" s="127" t="s">
        <v>116</v>
      </c>
      <c r="AA41" s="123">
        <v>81</v>
      </c>
      <c r="AB41" s="129">
        <f t="shared" si="82"/>
        <v>0.59213759213759221</v>
      </c>
      <c r="AC41" s="57">
        <f t="shared" si="56"/>
        <v>76.95</v>
      </c>
      <c r="AD41" s="68">
        <f t="shared" si="83"/>
        <v>0.51253071253071258</v>
      </c>
      <c r="AE41" s="75"/>
      <c r="AF41" s="58" t="s">
        <v>143</v>
      </c>
      <c r="AG41" s="58">
        <v>37</v>
      </c>
      <c r="AH41" s="46">
        <f t="shared" si="84"/>
        <v>0.42307692307692313</v>
      </c>
      <c r="AI41" s="58" t="s">
        <v>144</v>
      </c>
      <c r="AJ41" s="58">
        <v>53</v>
      </c>
      <c r="AK41" s="46">
        <f t="shared" si="85"/>
        <v>0.47222222222222232</v>
      </c>
      <c r="AL41" s="77"/>
      <c r="AM41" s="59">
        <v>27</v>
      </c>
      <c r="AN41" s="132">
        <f t="shared" si="23"/>
        <v>39.15</v>
      </c>
      <c r="AO41" s="133">
        <f t="shared" si="3"/>
        <v>0.44999999999999996</v>
      </c>
      <c r="AP41" s="59">
        <f t="shared" si="59"/>
        <v>37.192499999999995</v>
      </c>
      <c r="AQ41" s="69">
        <f t="shared" si="60"/>
        <v>0.37749999999999972</v>
      </c>
      <c r="AR41" s="59">
        <f t="shared" si="24"/>
        <v>39.15</v>
      </c>
      <c r="AS41" s="132">
        <f t="shared" si="25"/>
        <v>56.767499999999998</v>
      </c>
      <c r="AT41" s="135">
        <f t="shared" si="6"/>
        <v>0.44999999999999996</v>
      </c>
      <c r="AU41" s="59">
        <f t="shared" si="64"/>
        <v>53.929124999999999</v>
      </c>
      <c r="AV41" s="69">
        <f t="shared" si="65"/>
        <v>0.37749999999999995</v>
      </c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</row>
    <row r="42" spans="1:59" s="41" customFormat="1" x14ac:dyDescent="0.25">
      <c r="A42" s="149"/>
      <c r="B42" s="79" t="s">
        <v>122</v>
      </c>
      <c r="C42" s="109">
        <v>33</v>
      </c>
      <c r="D42" s="109">
        <v>53</v>
      </c>
      <c r="E42" s="53">
        <f t="shared" si="78"/>
        <v>0.60606060606060597</v>
      </c>
      <c r="F42" s="109">
        <v>49.5</v>
      </c>
      <c r="G42" s="109">
        <v>71.55</v>
      </c>
      <c r="H42" s="52">
        <f t="shared" si="74"/>
        <v>0.44545454545454533</v>
      </c>
      <c r="I42" s="75"/>
      <c r="J42" s="56" t="s">
        <v>108</v>
      </c>
      <c r="K42" s="117">
        <v>49</v>
      </c>
      <c r="L42" s="111">
        <f t="shared" si="75"/>
        <v>0.58064516129032251</v>
      </c>
      <c r="M42" s="60">
        <f t="shared" si="66"/>
        <v>48.02</v>
      </c>
      <c r="N42" s="66">
        <f t="shared" si="79"/>
        <v>0.54903225806451617</v>
      </c>
      <c r="O42" s="56">
        <v>46.5</v>
      </c>
      <c r="P42" s="112">
        <v>73.5</v>
      </c>
      <c r="Q42" s="111">
        <f t="shared" si="76"/>
        <v>0.58064516129032251</v>
      </c>
      <c r="R42" s="60">
        <f t="shared" si="67"/>
        <v>72.03</v>
      </c>
      <c r="S42" s="66">
        <f t="shared" si="54"/>
        <v>0.54903225806451617</v>
      </c>
      <c r="T42" s="75"/>
      <c r="U42" s="57" t="s">
        <v>115</v>
      </c>
      <c r="V42" s="123">
        <v>54</v>
      </c>
      <c r="W42" s="124">
        <f t="shared" si="80"/>
        <v>0.58823529411764697</v>
      </c>
      <c r="X42" s="57">
        <f t="shared" si="77"/>
        <v>51.3</v>
      </c>
      <c r="Y42" s="68">
        <f t="shared" si="81"/>
        <v>0.50882352941176467</v>
      </c>
      <c r="Z42" s="127" t="s">
        <v>116</v>
      </c>
      <c r="AA42" s="123">
        <v>81</v>
      </c>
      <c r="AB42" s="129">
        <f t="shared" si="82"/>
        <v>0.59213759213759221</v>
      </c>
      <c r="AC42" s="57">
        <f t="shared" si="56"/>
        <v>76.95</v>
      </c>
      <c r="AD42" s="68">
        <f t="shared" si="83"/>
        <v>0.51253071253071258</v>
      </c>
      <c r="AE42" s="75"/>
      <c r="AF42" s="58" t="s">
        <v>143</v>
      </c>
      <c r="AG42" s="58">
        <v>37</v>
      </c>
      <c r="AH42" s="46">
        <f t="shared" si="84"/>
        <v>0.42307692307692313</v>
      </c>
      <c r="AI42" s="58" t="s">
        <v>144</v>
      </c>
      <c r="AJ42" s="58">
        <v>53</v>
      </c>
      <c r="AK42" s="46">
        <f t="shared" si="85"/>
        <v>0.47222222222222232</v>
      </c>
      <c r="AL42" s="77"/>
      <c r="AM42" s="59">
        <v>28</v>
      </c>
      <c r="AN42" s="132">
        <f t="shared" si="23"/>
        <v>40.6</v>
      </c>
      <c r="AO42" s="133">
        <f t="shared" si="3"/>
        <v>0.44999999999999996</v>
      </c>
      <c r="AP42" s="59">
        <f t="shared" si="59"/>
        <v>38.57</v>
      </c>
      <c r="AQ42" s="69">
        <f t="shared" si="60"/>
        <v>0.37749999999999995</v>
      </c>
      <c r="AR42" s="59">
        <f t="shared" si="24"/>
        <v>40.6</v>
      </c>
      <c r="AS42" s="132">
        <f t="shared" si="25"/>
        <v>58.87</v>
      </c>
      <c r="AT42" s="135">
        <f t="shared" si="6"/>
        <v>0.44999999999999996</v>
      </c>
      <c r="AU42" s="59">
        <f t="shared" si="64"/>
        <v>55.926499999999997</v>
      </c>
      <c r="AV42" s="69">
        <f t="shared" si="65"/>
        <v>0.37749999999999995</v>
      </c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</row>
    <row r="43" spans="1:59" s="41" customFormat="1" x14ac:dyDescent="0.25">
      <c r="A43" s="150"/>
      <c r="B43" s="79" t="s">
        <v>176</v>
      </c>
      <c r="C43" s="109">
        <v>33</v>
      </c>
      <c r="D43" s="109">
        <v>53</v>
      </c>
      <c r="E43" s="53">
        <f t="shared" si="78"/>
        <v>0.60606060606060597</v>
      </c>
      <c r="F43" s="109">
        <v>49.5</v>
      </c>
      <c r="G43" s="109">
        <v>71.55</v>
      </c>
      <c r="H43" s="52">
        <f t="shared" si="74"/>
        <v>0.44545454545454533</v>
      </c>
      <c r="I43" s="75"/>
      <c r="J43" s="56" t="s">
        <v>108</v>
      </c>
      <c r="K43" s="117">
        <v>49</v>
      </c>
      <c r="L43" s="111">
        <f t="shared" si="75"/>
        <v>0.58064516129032251</v>
      </c>
      <c r="M43" s="60">
        <f t="shared" si="66"/>
        <v>48.02</v>
      </c>
      <c r="N43" s="66">
        <f t="shared" si="79"/>
        <v>0.54903225806451617</v>
      </c>
      <c r="O43" s="56">
        <v>46.5</v>
      </c>
      <c r="P43" s="112">
        <v>73.5</v>
      </c>
      <c r="Q43" s="111">
        <f t="shared" si="76"/>
        <v>0.58064516129032251</v>
      </c>
      <c r="R43" s="60">
        <f t="shared" si="67"/>
        <v>72.03</v>
      </c>
      <c r="S43" s="66">
        <f t="shared" si="54"/>
        <v>0.54903225806451617</v>
      </c>
      <c r="T43" s="75"/>
      <c r="U43" s="57" t="s">
        <v>115</v>
      </c>
      <c r="V43" s="123">
        <v>54</v>
      </c>
      <c r="W43" s="124">
        <f t="shared" si="80"/>
        <v>0.58823529411764697</v>
      </c>
      <c r="X43" s="57">
        <f t="shared" si="77"/>
        <v>51.3</v>
      </c>
      <c r="Y43" s="68">
        <f t="shared" si="81"/>
        <v>0.50882352941176467</v>
      </c>
      <c r="Z43" s="127" t="s">
        <v>116</v>
      </c>
      <c r="AA43" s="123">
        <v>81</v>
      </c>
      <c r="AB43" s="129">
        <f t="shared" si="82"/>
        <v>0.59213759213759221</v>
      </c>
      <c r="AC43" s="57">
        <f t="shared" si="56"/>
        <v>76.95</v>
      </c>
      <c r="AD43" s="68">
        <f t="shared" si="83"/>
        <v>0.51253071253071258</v>
      </c>
      <c r="AE43" s="75"/>
      <c r="AF43" s="58" t="s">
        <v>143</v>
      </c>
      <c r="AG43" s="58">
        <v>37</v>
      </c>
      <c r="AH43" s="46">
        <f t="shared" si="84"/>
        <v>0.42307692307692313</v>
      </c>
      <c r="AI43" s="58" t="s">
        <v>144</v>
      </c>
      <c r="AJ43" s="58">
        <v>53</v>
      </c>
      <c r="AK43" s="46">
        <f t="shared" si="85"/>
        <v>0.47222222222222232</v>
      </c>
      <c r="AL43" s="77"/>
      <c r="AM43" s="59">
        <v>29</v>
      </c>
      <c r="AN43" s="132">
        <f t="shared" si="23"/>
        <v>42.05</v>
      </c>
      <c r="AO43" s="133">
        <f t="shared" si="3"/>
        <v>0.44999999999999996</v>
      </c>
      <c r="AP43" s="59">
        <f t="shared" si="59"/>
        <v>39.947499999999998</v>
      </c>
      <c r="AQ43" s="69">
        <f t="shared" si="60"/>
        <v>0.37749999999999995</v>
      </c>
      <c r="AR43" s="59">
        <f t="shared" si="24"/>
        <v>42.05</v>
      </c>
      <c r="AS43" s="132">
        <f t="shared" si="25"/>
        <v>60.972499999999997</v>
      </c>
      <c r="AT43" s="135">
        <f t="shared" si="6"/>
        <v>0.44999999999999996</v>
      </c>
      <c r="AU43" s="59">
        <f t="shared" si="64"/>
        <v>57.923874999999995</v>
      </c>
      <c r="AV43" s="69">
        <f t="shared" si="65"/>
        <v>0.37749999999999995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</row>
    <row r="44" spans="1:59" s="78" customFormat="1" ht="8.4499999999999993" customHeight="1" x14ac:dyDescent="0.25">
      <c r="A44" s="72"/>
      <c r="B44" s="73"/>
      <c r="C44" s="74"/>
      <c r="D44" s="74"/>
      <c r="E44" s="75"/>
      <c r="F44" s="74"/>
      <c r="G44" s="74"/>
      <c r="H44" s="75"/>
      <c r="I44" s="75"/>
      <c r="J44" s="74"/>
      <c r="K44" s="115"/>
      <c r="L44" s="130"/>
      <c r="M44" s="74"/>
      <c r="N44" s="75"/>
      <c r="O44" s="74"/>
      <c r="P44" s="120"/>
      <c r="Q44" s="130"/>
      <c r="R44" s="75"/>
      <c r="S44" s="75"/>
      <c r="T44" s="75"/>
      <c r="U44" s="76"/>
      <c r="V44" s="119"/>
      <c r="W44" s="126"/>
      <c r="X44" s="76"/>
      <c r="Y44" s="77"/>
      <c r="Z44" s="128"/>
      <c r="AA44" s="119"/>
      <c r="AB44" s="130"/>
      <c r="AC44" s="75"/>
      <c r="AD44" s="75"/>
      <c r="AE44" s="75"/>
      <c r="AF44" s="76"/>
      <c r="AG44" s="76"/>
      <c r="AH44" s="77"/>
      <c r="AI44" s="76"/>
      <c r="AJ44" s="76"/>
      <c r="AK44" s="77"/>
      <c r="AL44" s="77"/>
      <c r="AM44" s="76"/>
      <c r="AN44" s="119"/>
      <c r="AO44" s="126"/>
      <c r="AP44" s="77"/>
      <c r="AQ44" s="77"/>
      <c r="AR44" s="76"/>
      <c r="AS44" s="119"/>
      <c r="AT44" s="130"/>
      <c r="AU44" s="75"/>
      <c r="AV44" s="75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</row>
    <row r="45" spans="1:59" s="41" customFormat="1" x14ac:dyDescent="0.25">
      <c r="A45" s="142" t="s">
        <v>154</v>
      </c>
      <c r="B45" s="79" t="s">
        <v>119</v>
      </c>
      <c r="C45" s="44">
        <v>34</v>
      </c>
      <c r="D45" s="44">
        <v>51</v>
      </c>
      <c r="E45" s="52">
        <f>(D45/C45)-1</f>
        <v>0.5</v>
      </c>
      <c r="F45" s="44">
        <v>51</v>
      </c>
      <c r="G45" s="44">
        <v>68.849999999999994</v>
      </c>
      <c r="H45" s="52">
        <f>G45/F45-1</f>
        <v>0.34999999999999987</v>
      </c>
      <c r="I45" s="75"/>
      <c r="J45" s="60" t="s">
        <v>93</v>
      </c>
      <c r="K45" s="118">
        <v>48.25</v>
      </c>
      <c r="L45" s="111">
        <f>(K45+K45)/(32+34)-1</f>
        <v>0.46212121212121215</v>
      </c>
      <c r="M45" s="60">
        <f t="shared" si="66"/>
        <v>47.284999999999997</v>
      </c>
      <c r="N45" s="66">
        <f>(M45+M45)/(32+34)-1</f>
        <v>0.43287878787878786</v>
      </c>
      <c r="O45" s="60">
        <v>49.5</v>
      </c>
      <c r="P45" s="110">
        <v>72</v>
      </c>
      <c r="Q45" s="111">
        <f t="shared" ref="Q45:Q50" si="86">P45/O45-1</f>
        <v>0.45454545454545459</v>
      </c>
      <c r="R45" s="60">
        <f t="shared" si="67"/>
        <v>70.56</v>
      </c>
      <c r="S45" s="66">
        <f t="shared" si="54"/>
        <v>0.42545454545454553</v>
      </c>
      <c r="T45" s="75"/>
      <c r="U45" s="57" t="s">
        <v>109</v>
      </c>
      <c r="V45" s="123">
        <v>51</v>
      </c>
      <c r="W45" s="124">
        <f>(V45+V45)/(33+36)-1</f>
        <v>0.47826086956521729</v>
      </c>
      <c r="X45" s="57">
        <f t="shared" ref="X45:X50" si="87">V45-(V45*0.05)</f>
        <v>48.45</v>
      </c>
      <c r="Y45" s="68">
        <f>(X45+X45)/(33+36)-1</f>
        <v>0.40434782608695663</v>
      </c>
      <c r="Z45" s="127" t="s">
        <v>110</v>
      </c>
      <c r="AA45" s="123">
        <v>76.5</v>
      </c>
      <c r="AB45" s="129">
        <f>(AA45+AA45)/(49.5+54)-1</f>
        <v>0.47826086956521729</v>
      </c>
      <c r="AC45" s="57">
        <f t="shared" si="56"/>
        <v>72.674999999999997</v>
      </c>
      <c r="AD45" s="68">
        <f>(AC45+AC45)/(49.5+54)-1</f>
        <v>0.40434782608695641</v>
      </c>
      <c r="AE45" s="75"/>
      <c r="AF45" s="58" t="s">
        <v>139</v>
      </c>
      <c r="AG45" s="58">
        <v>51</v>
      </c>
      <c r="AH45" s="46">
        <f>(AG45+AG45)/(33+36)-1</f>
        <v>0.47826086956521729</v>
      </c>
      <c r="AI45" s="58" t="s">
        <v>148</v>
      </c>
      <c r="AJ45" s="58">
        <v>74</v>
      </c>
      <c r="AK45" s="46">
        <f>(AJ45+AJ45)/(49.5+54)-1</f>
        <v>0.42995169082125595</v>
      </c>
      <c r="AL45" s="77"/>
      <c r="AM45" s="59">
        <v>35</v>
      </c>
      <c r="AN45" s="132">
        <f>SUM(AM45*1.45)</f>
        <v>50.75</v>
      </c>
      <c r="AO45" s="133">
        <f t="shared" ref="AO45:AO50" si="88">AN45/AM45-1</f>
        <v>0.44999999999999996</v>
      </c>
      <c r="AP45" s="59">
        <f t="shared" si="59"/>
        <v>48.212499999999999</v>
      </c>
      <c r="AQ45" s="69">
        <f t="shared" si="60"/>
        <v>0.37749999999999995</v>
      </c>
      <c r="AR45" s="59">
        <f t="shared" ref="AR45:AR50" si="89">SUM(AN45)</f>
        <v>50.75</v>
      </c>
      <c r="AS45" s="132">
        <f>SUM(AR45*1.45)</f>
        <v>73.587499999999991</v>
      </c>
      <c r="AT45" s="135">
        <f t="shared" ref="AT45:AT50" si="90">AS45/AR45-1</f>
        <v>0.44999999999999973</v>
      </c>
      <c r="AU45" s="59">
        <f t="shared" si="64"/>
        <v>69.908124999999998</v>
      </c>
      <c r="AV45" s="69">
        <f t="shared" si="65"/>
        <v>0.37749999999999995</v>
      </c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</row>
    <row r="46" spans="1:59" s="41" customFormat="1" x14ac:dyDescent="0.25">
      <c r="A46" s="143"/>
      <c r="B46" s="79" t="s">
        <v>120</v>
      </c>
      <c r="C46" s="44">
        <v>34</v>
      </c>
      <c r="D46" s="44">
        <v>51</v>
      </c>
      <c r="E46" s="52">
        <f t="shared" ref="E46:E50" si="91">(D46/C46)-1</f>
        <v>0.5</v>
      </c>
      <c r="F46" s="44">
        <v>51</v>
      </c>
      <c r="G46" s="44">
        <v>68.849999999999994</v>
      </c>
      <c r="H46" s="52">
        <f t="shared" ref="H46:H50" si="92">G46/F46-1</f>
        <v>0.34999999999999987</v>
      </c>
      <c r="I46" s="75"/>
      <c r="J46" s="60" t="s">
        <v>95</v>
      </c>
      <c r="K46" s="118">
        <v>48.75</v>
      </c>
      <c r="L46" s="111">
        <f>(K46+K46)/(33+35)-1</f>
        <v>0.43382352941176472</v>
      </c>
      <c r="M46" s="60">
        <f t="shared" si="66"/>
        <v>47.774999999999999</v>
      </c>
      <c r="N46" s="66">
        <f>(M46+M46)/(33+35)-1</f>
        <v>0.4051470588235293</v>
      </c>
      <c r="O46" s="60">
        <v>51</v>
      </c>
      <c r="P46" s="110">
        <v>73.5</v>
      </c>
      <c r="Q46" s="111">
        <f t="shared" si="86"/>
        <v>0.44117647058823528</v>
      </c>
      <c r="R46" s="60">
        <f t="shared" si="67"/>
        <v>72.03</v>
      </c>
      <c r="S46" s="66">
        <f t="shared" si="54"/>
        <v>0.41235294117647059</v>
      </c>
      <c r="T46" s="75"/>
      <c r="U46" s="57" t="s">
        <v>109</v>
      </c>
      <c r="V46" s="123">
        <v>51</v>
      </c>
      <c r="W46" s="124">
        <f t="shared" ref="W46:W50" si="93">(V46+V46)/(33+36)-1</f>
        <v>0.47826086956521729</v>
      </c>
      <c r="X46" s="57">
        <f t="shared" si="87"/>
        <v>48.45</v>
      </c>
      <c r="Y46" s="68">
        <f t="shared" ref="Y46:Y50" si="94">(X46+X46)/(33+36)-1</f>
        <v>0.40434782608695663</v>
      </c>
      <c r="Z46" s="127" t="s">
        <v>110</v>
      </c>
      <c r="AA46" s="123">
        <v>76.5</v>
      </c>
      <c r="AB46" s="129">
        <f t="shared" ref="AB46:AB50" si="95">(AA46+AA46)/(49.5+54)-1</f>
        <v>0.47826086956521729</v>
      </c>
      <c r="AC46" s="57">
        <f t="shared" si="56"/>
        <v>72.674999999999997</v>
      </c>
      <c r="AD46" s="68">
        <f t="shared" ref="AD46:AD50" si="96">(AC46+AC46)/(49.5+54)-1</f>
        <v>0.40434782608695641</v>
      </c>
      <c r="AE46" s="75"/>
      <c r="AF46" s="58" t="s">
        <v>139</v>
      </c>
      <c r="AG46" s="58">
        <v>51</v>
      </c>
      <c r="AH46" s="46">
        <f t="shared" ref="AH46:AH50" si="97">(AG46+AG46)/(33+36)-1</f>
        <v>0.47826086956521729</v>
      </c>
      <c r="AI46" s="58" t="s">
        <v>148</v>
      </c>
      <c r="AJ46" s="58">
        <v>74</v>
      </c>
      <c r="AK46" s="46">
        <f t="shared" ref="AK46:AK50" si="98">(AJ46+AJ46)/(49.5+54)-1</f>
        <v>0.42995169082125595</v>
      </c>
      <c r="AL46" s="77"/>
      <c r="AM46" s="59">
        <v>36</v>
      </c>
      <c r="AN46" s="132">
        <f>SUM(AM46*1.45)</f>
        <v>52.199999999999996</v>
      </c>
      <c r="AO46" s="133">
        <f t="shared" si="88"/>
        <v>0.44999999999999996</v>
      </c>
      <c r="AP46" s="59">
        <f t="shared" si="59"/>
        <v>49.589999999999996</v>
      </c>
      <c r="AQ46" s="69">
        <f t="shared" si="60"/>
        <v>0.37749999999999995</v>
      </c>
      <c r="AR46" s="59">
        <f t="shared" si="89"/>
        <v>52.199999999999996</v>
      </c>
      <c r="AS46" s="132">
        <f>SUM(AR46*1.45)</f>
        <v>75.69</v>
      </c>
      <c r="AT46" s="135">
        <f t="shared" si="90"/>
        <v>0.45000000000000018</v>
      </c>
      <c r="AU46" s="59">
        <f t="shared" si="64"/>
        <v>71.905500000000004</v>
      </c>
      <c r="AV46" s="69">
        <f t="shared" si="65"/>
        <v>0.37750000000000017</v>
      </c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</row>
    <row r="47" spans="1:59" s="41" customFormat="1" x14ac:dyDescent="0.25">
      <c r="A47" s="143"/>
      <c r="B47" s="79" t="s">
        <v>175</v>
      </c>
      <c r="C47" s="44">
        <v>34</v>
      </c>
      <c r="D47" s="44">
        <v>51</v>
      </c>
      <c r="E47" s="52">
        <f t="shared" si="91"/>
        <v>0.5</v>
      </c>
      <c r="F47" s="44">
        <v>51</v>
      </c>
      <c r="G47" s="44">
        <v>68.849999999999994</v>
      </c>
      <c r="H47" s="52">
        <f t="shared" si="92"/>
        <v>0.34999999999999987</v>
      </c>
      <c r="I47" s="75"/>
      <c r="J47" s="60" t="s">
        <v>97</v>
      </c>
      <c r="K47" s="118">
        <v>49.25</v>
      </c>
      <c r="L47" s="111">
        <f>(K47+K47)/(34+36.5)-1</f>
        <v>0.39716312056737579</v>
      </c>
      <c r="M47" s="60">
        <f t="shared" si="66"/>
        <v>48.265000000000001</v>
      </c>
      <c r="N47" s="66">
        <f>(M47+M47)/(34+36.5)-1</f>
        <v>0.36921985815602842</v>
      </c>
      <c r="O47" s="60">
        <v>52.5</v>
      </c>
      <c r="P47" s="110">
        <v>74</v>
      </c>
      <c r="Q47" s="111">
        <f t="shared" si="86"/>
        <v>0.40952380952380962</v>
      </c>
      <c r="R47" s="60">
        <f t="shared" si="67"/>
        <v>72.52</v>
      </c>
      <c r="S47" s="66">
        <f t="shared" si="54"/>
        <v>0.3813333333333333</v>
      </c>
      <c r="T47" s="75"/>
      <c r="U47" s="57" t="s">
        <v>109</v>
      </c>
      <c r="V47" s="123">
        <v>51</v>
      </c>
      <c r="W47" s="124">
        <f t="shared" si="93"/>
        <v>0.47826086956521729</v>
      </c>
      <c r="X47" s="57">
        <f t="shared" si="87"/>
        <v>48.45</v>
      </c>
      <c r="Y47" s="68">
        <f t="shared" si="94"/>
        <v>0.40434782608695663</v>
      </c>
      <c r="Z47" s="127" t="s">
        <v>110</v>
      </c>
      <c r="AA47" s="123">
        <v>76.5</v>
      </c>
      <c r="AB47" s="129">
        <f t="shared" si="95"/>
        <v>0.47826086956521729</v>
      </c>
      <c r="AC47" s="57">
        <f t="shared" si="56"/>
        <v>72.674999999999997</v>
      </c>
      <c r="AD47" s="68">
        <f t="shared" si="96"/>
        <v>0.40434782608695641</v>
      </c>
      <c r="AE47" s="75"/>
      <c r="AF47" s="58" t="s">
        <v>139</v>
      </c>
      <c r="AG47" s="58">
        <v>51</v>
      </c>
      <c r="AH47" s="46">
        <f t="shared" si="97"/>
        <v>0.47826086956521729</v>
      </c>
      <c r="AI47" s="58" t="s">
        <v>148</v>
      </c>
      <c r="AJ47" s="58">
        <v>74</v>
      </c>
      <c r="AK47" s="46">
        <f t="shared" si="98"/>
        <v>0.42995169082125595</v>
      </c>
      <c r="AL47" s="77"/>
      <c r="AM47" s="59">
        <v>37</v>
      </c>
      <c r="AN47" s="132">
        <f>SUM(AM47*1.45)</f>
        <v>53.65</v>
      </c>
      <c r="AO47" s="133">
        <f t="shared" si="88"/>
        <v>0.44999999999999996</v>
      </c>
      <c r="AP47" s="59">
        <f t="shared" si="59"/>
        <v>50.967500000000001</v>
      </c>
      <c r="AQ47" s="69">
        <f t="shared" si="60"/>
        <v>0.37749999999999995</v>
      </c>
      <c r="AR47" s="59">
        <f t="shared" si="89"/>
        <v>53.65</v>
      </c>
      <c r="AS47" s="132">
        <f>SUM(AR47*1.45)</f>
        <v>77.79249999999999</v>
      </c>
      <c r="AT47" s="135">
        <f t="shared" si="90"/>
        <v>0.44999999999999996</v>
      </c>
      <c r="AU47" s="59">
        <f t="shared" si="64"/>
        <v>73.902874999999995</v>
      </c>
      <c r="AV47" s="69">
        <f t="shared" si="65"/>
        <v>0.37749999999999995</v>
      </c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</row>
    <row r="48" spans="1:59" s="41" customFormat="1" x14ac:dyDescent="0.25">
      <c r="A48" s="143"/>
      <c r="B48" s="79" t="s">
        <v>121</v>
      </c>
      <c r="C48" s="44">
        <v>35</v>
      </c>
      <c r="D48" s="44">
        <v>52</v>
      </c>
      <c r="E48" s="52">
        <f t="shared" si="91"/>
        <v>0.48571428571428577</v>
      </c>
      <c r="F48" s="44">
        <v>52.5</v>
      </c>
      <c r="G48" s="44">
        <v>70.2</v>
      </c>
      <c r="H48" s="52">
        <f t="shared" si="92"/>
        <v>0.33714285714285719</v>
      </c>
      <c r="I48" s="75"/>
      <c r="J48" s="60" t="s">
        <v>94</v>
      </c>
      <c r="K48" s="118">
        <v>49.75</v>
      </c>
      <c r="L48" s="111">
        <f>(K48+K48)/(35+36)-1</f>
        <v>0.40140845070422526</v>
      </c>
      <c r="M48" s="60">
        <f t="shared" si="66"/>
        <v>48.755000000000003</v>
      </c>
      <c r="N48" s="66">
        <f>(M48+M48)/(35+36)-1</f>
        <v>0.37338028169014081</v>
      </c>
      <c r="O48" s="60">
        <v>53.25</v>
      </c>
      <c r="P48" s="110">
        <v>74.75</v>
      </c>
      <c r="Q48" s="111">
        <f t="shared" si="86"/>
        <v>0.40375586854460099</v>
      </c>
      <c r="R48" s="60">
        <f t="shared" si="67"/>
        <v>73.254999999999995</v>
      </c>
      <c r="S48" s="66">
        <f t="shared" si="54"/>
        <v>0.3756807511737088</v>
      </c>
      <c r="T48" s="75"/>
      <c r="U48" s="57" t="s">
        <v>109</v>
      </c>
      <c r="V48" s="123">
        <v>51</v>
      </c>
      <c r="W48" s="124">
        <f t="shared" si="93"/>
        <v>0.47826086956521729</v>
      </c>
      <c r="X48" s="57">
        <f t="shared" si="87"/>
        <v>48.45</v>
      </c>
      <c r="Y48" s="68">
        <f t="shared" si="94"/>
        <v>0.40434782608695663</v>
      </c>
      <c r="Z48" s="127" t="s">
        <v>110</v>
      </c>
      <c r="AA48" s="123">
        <v>76.5</v>
      </c>
      <c r="AB48" s="129">
        <f t="shared" si="95"/>
        <v>0.47826086956521729</v>
      </c>
      <c r="AC48" s="57">
        <f t="shared" si="56"/>
        <v>72.674999999999997</v>
      </c>
      <c r="AD48" s="68">
        <f t="shared" si="96"/>
        <v>0.40434782608695641</v>
      </c>
      <c r="AE48" s="75"/>
      <c r="AF48" s="58" t="s">
        <v>139</v>
      </c>
      <c r="AG48" s="58">
        <v>51</v>
      </c>
      <c r="AH48" s="46">
        <f t="shared" si="97"/>
        <v>0.47826086956521729</v>
      </c>
      <c r="AI48" s="58" t="s">
        <v>148</v>
      </c>
      <c r="AJ48" s="58">
        <v>74</v>
      </c>
      <c r="AK48" s="46">
        <f t="shared" si="98"/>
        <v>0.42995169082125595</v>
      </c>
      <c r="AL48" s="77"/>
      <c r="AM48" s="59">
        <v>36</v>
      </c>
      <c r="AN48" s="132">
        <f t="shared" ref="AN48:AN50" si="99">SUM(AM48*1.45)</f>
        <v>52.199999999999996</v>
      </c>
      <c r="AO48" s="133">
        <f t="shared" si="88"/>
        <v>0.44999999999999996</v>
      </c>
      <c r="AP48" s="59">
        <f t="shared" si="59"/>
        <v>49.589999999999996</v>
      </c>
      <c r="AQ48" s="69">
        <f t="shared" si="60"/>
        <v>0.37749999999999995</v>
      </c>
      <c r="AR48" s="59">
        <f t="shared" si="89"/>
        <v>52.199999999999996</v>
      </c>
      <c r="AS48" s="132">
        <f t="shared" ref="AS48:AS50" si="100">SUM(AR48*1.45)</f>
        <v>75.69</v>
      </c>
      <c r="AT48" s="135">
        <f t="shared" si="90"/>
        <v>0.45000000000000018</v>
      </c>
      <c r="AU48" s="59">
        <f t="shared" si="64"/>
        <v>71.905500000000004</v>
      </c>
      <c r="AV48" s="69">
        <f t="shared" si="65"/>
        <v>0.37750000000000017</v>
      </c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</row>
    <row r="49" spans="1:59" s="41" customFormat="1" x14ac:dyDescent="0.25">
      <c r="A49" s="143"/>
      <c r="B49" s="79" t="s">
        <v>122</v>
      </c>
      <c r="C49" s="44">
        <v>35</v>
      </c>
      <c r="D49" s="44">
        <v>52</v>
      </c>
      <c r="E49" s="52">
        <f t="shared" si="91"/>
        <v>0.48571428571428577</v>
      </c>
      <c r="F49" s="44">
        <v>52.5</v>
      </c>
      <c r="G49" s="44">
        <v>70.2</v>
      </c>
      <c r="H49" s="52">
        <f t="shared" si="92"/>
        <v>0.33714285714285719</v>
      </c>
      <c r="I49" s="75"/>
      <c r="J49" s="60" t="s">
        <v>96</v>
      </c>
      <c r="K49" s="118">
        <v>49.75</v>
      </c>
      <c r="L49" s="111">
        <f>(K49+K49)/(35.5+37)-1</f>
        <v>0.37241379310344835</v>
      </c>
      <c r="M49" s="60">
        <f t="shared" si="66"/>
        <v>48.755000000000003</v>
      </c>
      <c r="N49" s="66">
        <f>(M49+M49)/(35.5+37)-1</f>
        <v>0.34496551724137947</v>
      </c>
      <c r="O49" s="60">
        <v>54</v>
      </c>
      <c r="P49" s="110">
        <v>74.75</v>
      </c>
      <c r="Q49" s="111">
        <f t="shared" si="86"/>
        <v>0.3842592592592593</v>
      </c>
      <c r="R49" s="60">
        <f t="shared" si="67"/>
        <v>73.254999999999995</v>
      </c>
      <c r="S49" s="66">
        <f t="shared" si="54"/>
        <v>0.35657407407407393</v>
      </c>
      <c r="T49" s="75"/>
      <c r="U49" s="57" t="s">
        <v>109</v>
      </c>
      <c r="V49" s="123">
        <v>51</v>
      </c>
      <c r="W49" s="124">
        <f t="shared" si="93"/>
        <v>0.47826086956521729</v>
      </c>
      <c r="X49" s="57">
        <f t="shared" si="87"/>
        <v>48.45</v>
      </c>
      <c r="Y49" s="68">
        <f t="shared" si="94"/>
        <v>0.40434782608695663</v>
      </c>
      <c r="Z49" s="127" t="s">
        <v>110</v>
      </c>
      <c r="AA49" s="123">
        <v>76.5</v>
      </c>
      <c r="AB49" s="129">
        <f t="shared" si="95"/>
        <v>0.47826086956521729</v>
      </c>
      <c r="AC49" s="57">
        <f t="shared" si="56"/>
        <v>72.674999999999997</v>
      </c>
      <c r="AD49" s="68">
        <f t="shared" si="96"/>
        <v>0.40434782608695641</v>
      </c>
      <c r="AE49" s="75"/>
      <c r="AF49" s="58" t="s">
        <v>139</v>
      </c>
      <c r="AG49" s="58">
        <v>51</v>
      </c>
      <c r="AH49" s="46">
        <f t="shared" si="97"/>
        <v>0.47826086956521729</v>
      </c>
      <c r="AI49" s="58" t="s">
        <v>148</v>
      </c>
      <c r="AJ49" s="58">
        <v>74</v>
      </c>
      <c r="AK49" s="46">
        <f t="shared" si="98"/>
        <v>0.42995169082125595</v>
      </c>
      <c r="AL49" s="77"/>
      <c r="AM49" s="59">
        <v>37</v>
      </c>
      <c r="AN49" s="132">
        <f t="shared" si="99"/>
        <v>53.65</v>
      </c>
      <c r="AO49" s="133">
        <f t="shared" si="88"/>
        <v>0.44999999999999996</v>
      </c>
      <c r="AP49" s="59">
        <f t="shared" si="59"/>
        <v>50.967500000000001</v>
      </c>
      <c r="AQ49" s="69">
        <f t="shared" si="60"/>
        <v>0.37749999999999995</v>
      </c>
      <c r="AR49" s="59">
        <f t="shared" si="89"/>
        <v>53.65</v>
      </c>
      <c r="AS49" s="132">
        <f t="shared" si="100"/>
        <v>77.79249999999999</v>
      </c>
      <c r="AT49" s="135">
        <f t="shared" si="90"/>
        <v>0.44999999999999996</v>
      </c>
      <c r="AU49" s="59">
        <f t="shared" si="64"/>
        <v>73.902874999999995</v>
      </c>
      <c r="AV49" s="69">
        <f t="shared" si="65"/>
        <v>0.37749999999999995</v>
      </c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</row>
    <row r="50" spans="1:59" s="41" customFormat="1" x14ac:dyDescent="0.25">
      <c r="A50" s="144"/>
      <c r="B50" s="79" t="s">
        <v>176</v>
      </c>
      <c r="C50" s="44">
        <v>35</v>
      </c>
      <c r="D50" s="44">
        <v>52</v>
      </c>
      <c r="E50" s="52">
        <f t="shared" si="91"/>
        <v>0.48571428571428577</v>
      </c>
      <c r="F50" s="44">
        <v>52.5</v>
      </c>
      <c r="G50" s="44">
        <v>70.2</v>
      </c>
      <c r="H50" s="52">
        <f t="shared" si="92"/>
        <v>0.33714285714285719</v>
      </c>
      <c r="I50" s="75"/>
      <c r="J50" s="60" t="s">
        <v>98</v>
      </c>
      <c r="K50" s="118">
        <v>50</v>
      </c>
      <c r="L50" s="111">
        <f>(K50+K50)/(36.5+38.5)-1</f>
        <v>0.33333333333333326</v>
      </c>
      <c r="M50" s="60">
        <f t="shared" si="66"/>
        <v>49</v>
      </c>
      <c r="N50" s="66">
        <f>(M50+M50)/(36.5+38.5)-1</f>
        <v>0.30666666666666664</v>
      </c>
      <c r="O50" s="60">
        <v>55.5</v>
      </c>
      <c r="P50" s="110">
        <v>75</v>
      </c>
      <c r="Q50" s="111">
        <f t="shared" si="86"/>
        <v>0.35135135135135132</v>
      </c>
      <c r="R50" s="60">
        <f t="shared" si="67"/>
        <v>73.5</v>
      </c>
      <c r="S50" s="66">
        <f t="shared" si="54"/>
        <v>0.32432432432432434</v>
      </c>
      <c r="T50" s="75"/>
      <c r="U50" s="57" t="s">
        <v>109</v>
      </c>
      <c r="V50" s="123">
        <v>51</v>
      </c>
      <c r="W50" s="124">
        <f t="shared" si="93"/>
        <v>0.47826086956521729</v>
      </c>
      <c r="X50" s="57">
        <f t="shared" si="87"/>
        <v>48.45</v>
      </c>
      <c r="Y50" s="68">
        <f t="shared" si="94"/>
        <v>0.40434782608695663</v>
      </c>
      <c r="Z50" s="127" t="s">
        <v>110</v>
      </c>
      <c r="AA50" s="123">
        <v>76.5</v>
      </c>
      <c r="AB50" s="129">
        <f t="shared" si="95"/>
        <v>0.47826086956521729</v>
      </c>
      <c r="AC50" s="57">
        <f t="shared" si="56"/>
        <v>72.674999999999997</v>
      </c>
      <c r="AD50" s="68">
        <f t="shared" si="96"/>
        <v>0.40434782608695641</v>
      </c>
      <c r="AE50" s="75"/>
      <c r="AF50" s="58" t="s">
        <v>139</v>
      </c>
      <c r="AG50" s="58">
        <v>51</v>
      </c>
      <c r="AH50" s="46">
        <f t="shared" si="97"/>
        <v>0.47826086956521729</v>
      </c>
      <c r="AI50" s="58" t="s">
        <v>148</v>
      </c>
      <c r="AJ50" s="58">
        <v>74</v>
      </c>
      <c r="AK50" s="46">
        <f t="shared" si="98"/>
        <v>0.42995169082125595</v>
      </c>
      <c r="AL50" s="77"/>
      <c r="AM50" s="59">
        <v>38</v>
      </c>
      <c r="AN50" s="132">
        <f t="shared" si="99"/>
        <v>55.1</v>
      </c>
      <c r="AO50" s="133">
        <f t="shared" si="88"/>
        <v>0.44999999999999996</v>
      </c>
      <c r="AP50" s="59">
        <f t="shared" si="59"/>
        <v>52.344999999999999</v>
      </c>
      <c r="AQ50" s="69">
        <f t="shared" si="60"/>
        <v>0.37749999999999995</v>
      </c>
      <c r="AR50" s="59">
        <f t="shared" si="89"/>
        <v>55.1</v>
      </c>
      <c r="AS50" s="132">
        <f t="shared" si="100"/>
        <v>79.894999999999996</v>
      </c>
      <c r="AT50" s="135">
        <f t="shared" si="90"/>
        <v>0.44999999999999996</v>
      </c>
      <c r="AU50" s="59">
        <f t="shared" si="64"/>
        <v>75.90025</v>
      </c>
      <c r="AV50" s="69">
        <f t="shared" si="65"/>
        <v>0.37749999999999995</v>
      </c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</row>
    <row r="51" spans="1:59" s="78" customFormat="1" ht="8.4499999999999993" customHeight="1" x14ac:dyDescent="0.25">
      <c r="A51" s="72"/>
      <c r="B51" s="73"/>
      <c r="C51" s="74"/>
      <c r="D51" s="74"/>
      <c r="E51" s="75"/>
      <c r="F51" s="74"/>
      <c r="G51" s="74"/>
      <c r="H51" s="75"/>
      <c r="I51" s="75"/>
      <c r="J51" s="74"/>
      <c r="K51" s="115"/>
      <c r="L51" s="130"/>
      <c r="M51" s="74"/>
      <c r="N51" s="75"/>
      <c r="O51" s="74"/>
      <c r="P51" s="120"/>
      <c r="Q51" s="130"/>
      <c r="R51" s="75"/>
      <c r="S51" s="75"/>
      <c r="T51" s="75"/>
      <c r="U51" s="76"/>
      <c r="V51" s="119"/>
      <c r="W51" s="126"/>
      <c r="X51" s="76"/>
      <c r="Y51" s="77"/>
      <c r="Z51" s="128"/>
      <c r="AA51" s="119"/>
      <c r="AB51" s="130"/>
      <c r="AC51" s="75"/>
      <c r="AD51" s="75"/>
      <c r="AE51" s="75"/>
      <c r="AF51" s="76"/>
      <c r="AG51" s="76"/>
      <c r="AH51" s="77"/>
      <c r="AI51" s="76"/>
      <c r="AJ51" s="76"/>
      <c r="AK51" s="77"/>
      <c r="AL51" s="77"/>
      <c r="AM51" s="76"/>
      <c r="AN51" s="119"/>
      <c r="AO51" s="126"/>
      <c r="AP51" s="77"/>
      <c r="AQ51" s="77"/>
      <c r="AR51" s="76"/>
      <c r="AS51" s="119"/>
      <c r="AT51" s="130"/>
      <c r="AU51" s="75"/>
      <c r="AV51" s="75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</row>
    <row r="52" spans="1:59" s="41" customFormat="1" x14ac:dyDescent="0.25">
      <c r="A52" s="81" t="s">
        <v>1</v>
      </c>
      <c r="B52" s="96" t="s">
        <v>90</v>
      </c>
      <c r="C52" s="109">
        <v>34</v>
      </c>
      <c r="D52" s="109">
        <v>54</v>
      </c>
      <c r="E52" s="53">
        <f>D52/C52-1</f>
        <v>0.58823529411764697</v>
      </c>
      <c r="F52" s="109">
        <v>51</v>
      </c>
      <c r="G52" s="109">
        <v>72.900000000000006</v>
      </c>
      <c r="H52" s="52">
        <f>G52/F52-1</f>
        <v>0.42941176470588238</v>
      </c>
      <c r="I52" s="75"/>
      <c r="J52" s="56" t="s">
        <v>106</v>
      </c>
      <c r="K52" s="117">
        <v>55</v>
      </c>
      <c r="L52" s="111">
        <f>(K52+K52)/(35+37)-1</f>
        <v>0.52777777777777768</v>
      </c>
      <c r="M52" s="60">
        <f t="shared" si="66"/>
        <v>53.9</v>
      </c>
      <c r="N52" s="66">
        <f>(M52+M52)/(35+37)-1</f>
        <v>0.49722222222222223</v>
      </c>
      <c r="O52" s="56">
        <v>54</v>
      </c>
      <c r="P52" s="112">
        <v>82.5</v>
      </c>
      <c r="Q52" s="111">
        <f>P52/O52-1</f>
        <v>0.52777777777777768</v>
      </c>
      <c r="R52" s="60">
        <f t="shared" si="67"/>
        <v>80.849999999999994</v>
      </c>
      <c r="S52" s="66">
        <f t="shared" si="54"/>
        <v>0.49722222222222201</v>
      </c>
      <c r="T52" s="75"/>
      <c r="U52" s="57" t="s">
        <v>115</v>
      </c>
      <c r="V52" s="123">
        <v>54</v>
      </c>
      <c r="W52" s="124">
        <f>(V52+V52)/(33+35)-1</f>
        <v>0.58823529411764697</v>
      </c>
      <c r="X52" s="57">
        <f t="shared" ref="X52" si="101">V52-(V52*0.05)</f>
        <v>51.3</v>
      </c>
      <c r="Y52" s="68">
        <f t="shared" ref="Y52" si="102">(X52+X52)/(33+35)-1</f>
        <v>0.50882352941176467</v>
      </c>
      <c r="Z52" s="127" t="s">
        <v>116</v>
      </c>
      <c r="AA52" s="123">
        <v>81</v>
      </c>
      <c r="AB52" s="129">
        <f>(AA52+AA52)/(49.25+52.5)-1</f>
        <v>0.59213759213759221</v>
      </c>
      <c r="AC52" s="57">
        <f t="shared" si="56"/>
        <v>76.95</v>
      </c>
      <c r="AD52" s="68">
        <f>(AC52+AC52)/(49.5+52.5)-1</f>
        <v>0.50882352941176467</v>
      </c>
      <c r="AE52" s="75"/>
      <c r="AF52" s="45" t="s">
        <v>149</v>
      </c>
      <c r="AG52" s="58">
        <v>52</v>
      </c>
      <c r="AH52" s="46">
        <f>(AG52+AG52)/(25+35)-1</f>
        <v>0.73333333333333339</v>
      </c>
      <c r="AI52" s="45" t="s">
        <v>150</v>
      </c>
      <c r="AJ52" s="42">
        <v>81</v>
      </c>
      <c r="AK52" s="46">
        <f>(AJ52+AJ52)/(42+52.5)-1</f>
        <v>0.71428571428571419</v>
      </c>
      <c r="AL52" s="77"/>
      <c r="AM52" s="59">
        <v>33</v>
      </c>
      <c r="AN52" s="132">
        <f>SUM(AM52*1.45)</f>
        <v>47.85</v>
      </c>
      <c r="AO52" s="133">
        <f>AN52/AM52-1</f>
        <v>0.44999999999999996</v>
      </c>
      <c r="AP52" s="59">
        <f t="shared" si="59"/>
        <v>45.457500000000003</v>
      </c>
      <c r="AQ52" s="69">
        <f t="shared" si="60"/>
        <v>0.37750000000000017</v>
      </c>
      <c r="AR52" s="59">
        <f>SUM(AN52)</f>
        <v>47.85</v>
      </c>
      <c r="AS52" s="132">
        <f>SUM(AR52*1.45)</f>
        <v>69.382499999999993</v>
      </c>
      <c r="AT52" s="135">
        <f>AS52/AR52-1</f>
        <v>0.44999999999999973</v>
      </c>
      <c r="AU52" s="59">
        <f t="shared" si="64"/>
        <v>65.913374999999988</v>
      </c>
      <c r="AV52" s="69">
        <f t="shared" si="65"/>
        <v>0.37749999999999972</v>
      </c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</row>
    <row r="53" spans="1:59" s="78" customFormat="1" ht="8.4499999999999993" customHeight="1" x14ac:dyDescent="0.25">
      <c r="A53" s="93"/>
      <c r="B53" s="73"/>
      <c r="C53" s="76"/>
      <c r="D53" s="76"/>
      <c r="E53" s="77"/>
      <c r="F53" s="76"/>
      <c r="G53" s="76"/>
      <c r="H53" s="75"/>
      <c r="I53" s="75"/>
      <c r="J53" s="76"/>
      <c r="K53" s="114"/>
      <c r="L53" s="130"/>
      <c r="M53" s="74"/>
      <c r="N53" s="75"/>
      <c r="O53" s="76"/>
      <c r="P53" s="76"/>
      <c r="Q53" s="75"/>
      <c r="R53" s="74"/>
      <c r="S53" s="75"/>
      <c r="T53" s="75"/>
      <c r="U53" s="76"/>
      <c r="V53" s="76"/>
      <c r="W53" s="77"/>
      <c r="X53" s="76"/>
      <c r="Y53" s="77"/>
      <c r="Z53" s="76"/>
      <c r="AA53" s="76"/>
      <c r="AB53" s="75"/>
      <c r="AC53" s="75"/>
      <c r="AD53" s="75"/>
      <c r="AE53" s="75"/>
      <c r="AF53" s="76"/>
      <c r="AG53" s="76"/>
      <c r="AH53" s="77"/>
      <c r="AI53" s="76"/>
      <c r="AJ53" s="76"/>
      <c r="AK53" s="77"/>
      <c r="AL53" s="77"/>
      <c r="AM53" s="76"/>
      <c r="AN53" s="76"/>
      <c r="AO53" s="77"/>
      <c r="AP53" s="76"/>
      <c r="AQ53" s="77"/>
      <c r="AR53" s="76"/>
      <c r="AS53" s="76"/>
      <c r="AT53" s="75"/>
      <c r="AU53" s="75"/>
      <c r="AV53" s="75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</row>
  </sheetData>
  <mergeCells count="31">
    <mergeCell ref="A31:A36"/>
    <mergeCell ref="A38:A43"/>
    <mergeCell ref="A45:A50"/>
    <mergeCell ref="U27:AD27"/>
    <mergeCell ref="U20:AD20"/>
    <mergeCell ref="A1:B2"/>
    <mergeCell ref="A4:A9"/>
    <mergeCell ref="A11:A16"/>
    <mergeCell ref="C2:H2"/>
    <mergeCell ref="J2:S2"/>
    <mergeCell ref="AM2:AV2"/>
    <mergeCell ref="U18:AD18"/>
    <mergeCell ref="AM18:AV18"/>
    <mergeCell ref="C22:H22"/>
    <mergeCell ref="U22:AD22"/>
    <mergeCell ref="AM22:AV22"/>
    <mergeCell ref="AF2:AK2"/>
    <mergeCell ref="U2:AD2"/>
    <mergeCell ref="AM27:AV27"/>
    <mergeCell ref="U29:AD29"/>
    <mergeCell ref="AM29:AV29"/>
    <mergeCell ref="AM23:AV23"/>
    <mergeCell ref="C24:H24"/>
    <mergeCell ref="U24:AD24"/>
    <mergeCell ref="AM24:AV24"/>
    <mergeCell ref="C25:H25"/>
    <mergeCell ref="U25:AD25"/>
    <mergeCell ref="AM25:AV25"/>
    <mergeCell ref="C23:H23"/>
    <mergeCell ref="U23:AD23"/>
    <mergeCell ref="AF29:AK29"/>
  </mergeCells>
  <pageMargins left="0.7" right="0.7" top="0.75" bottom="0.75" header="0.3" footer="0.3"/>
  <pageSetup scale="66" fitToWidth="0" orientation="landscape" verticalDpi="0" r:id="rId1"/>
  <headerFooter>
    <oddFooter>&amp;RGSS14113-TEMNURSELTC
 Pricing Spreadsheet AD 9</oddFooter>
  </headerFooter>
  <colBreaks count="4" manualBreakCount="4">
    <brk id="8" max="1048575" man="1"/>
    <brk id="19" max="1048575" man="1"/>
    <brk id="30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3"/>
  <sheetViews>
    <sheetView zoomScale="85" zoomScaleNormal="85" workbookViewId="0">
      <pane xSplit="2" ySplit="3" topLeftCell="AC13" activePane="bottomRight" state="frozen"/>
      <selection pane="topRight" activeCell="C1" sqref="C1"/>
      <selection pane="bottomLeft" activeCell="A4" sqref="A4"/>
      <selection pane="bottomRight" sqref="A1:B2"/>
    </sheetView>
  </sheetViews>
  <sheetFormatPr defaultColWidth="8.85546875" defaultRowHeight="15" x14ac:dyDescent="0.25"/>
  <cols>
    <col min="1" max="1" width="29.85546875" style="64" bestFit="1" customWidth="1"/>
    <col min="2" max="2" width="21.140625" style="64" customWidth="1"/>
    <col min="3" max="4" width="16.7109375" style="51" customWidth="1"/>
    <col min="5" max="5" width="16.7109375" style="54" customWidth="1"/>
    <col min="6" max="7" width="16.7109375" style="51" customWidth="1"/>
    <col min="8" max="8" width="16.7109375" style="54" customWidth="1"/>
    <col min="9" max="9" width="1" style="51" customWidth="1"/>
    <col min="10" max="10" width="16.140625" style="51" customWidth="1"/>
    <col min="11" max="12" width="16.140625" style="54" customWidth="1"/>
    <col min="13" max="15" width="16.140625" style="51" customWidth="1"/>
    <col min="16" max="16" width="16.140625" style="54" customWidth="1"/>
    <col min="17" max="18" width="16.28515625" style="50" customWidth="1"/>
    <col min="19" max="19" width="16.28515625" style="55" customWidth="1"/>
    <col min="20" max="20" width="1" style="50" customWidth="1"/>
    <col min="21" max="21" width="16.28515625" style="55" customWidth="1"/>
    <col min="22" max="25" width="16.28515625" style="50" customWidth="1"/>
    <col min="26" max="26" width="16.28515625" style="55" customWidth="1"/>
    <col min="27" max="30" width="16.42578125" style="50" customWidth="1"/>
    <col min="31" max="31" width="1" style="55" customWidth="1"/>
    <col min="32" max="33" width="16.42578125" style="50" customWidth="1"/>
    <col min="34" max="34" width="16.42578125" style="55" customWidth="1"/>
    <col min="35" max="36" width="15.7109375" style="50" customWidth="1"/>
    <col min="37" max="37" width="15.7109375" style="55" customWidth="1"/>
    <col min="38" max="38" width="1" style="50" customWidth="1"/>
    <col min="39" max="39" width="16" style="50" customWidth="1"/>
    <col min="40" max="40" width="16" style="54" customWidth="1"/>
    <col min="41" max="41" width="16" style="64" customWidth="1"/>
    <col min="42" max="42" width="16" style="131" customWidth="1"/>
    <col min="43" max="48" width="16" style="64" customWidth="1"/>
    <col min="49" max="59" width="8.85546875" style="65"/>
    <col min="60" max="16384" width="8.85546875" style="64"/>
  </cols>
  <sheetData>
    <row r="1" spans="1:59" s="41" customFormat="1" ht="15.75" thickBot="1" x14ac:dyDescent="0.3">
      <c r="A1" s="159" t="s">
        <v>151</v>
      </c>
      <c r="B1" s="159"/>
      <c r="C1" s="51"/>
      <c r="D1" s="51"/>
      <c r="E1" s="54"/>
      <c r="F1" s="51"/>
      <c r="G1" s="51"/>
      <c r="H1" s="54"/>
      <c r="I1" s="51"/>
      <c r="J1" s="51"/>
      <c r="K1" s="54"/>
      <c r="L1" s="54"/>
      <c r="M1" s="51"/>
      <c r="N1" s="51"/>
      <c r="O1" s="51"/>
      <c r="P1" s="54"/>
      <c r="Q1" s="50"/>
      <c r="R1" s="50"/>
      <c r="S1" s="55"/>
      <c r="T1" s="50"/>
      <c r="U1" s="55"/>
      <c r="V1" s="50"/>
      <c r="W1" s="50"/>
      <c r="X1" s="50"/>
      <c r="Y1" s="50"/>
      <c r="Z1" s="55"/>
      <c r="AA1" s="50"/>
      <c r="AB1" s="50"/>
      <c r="AC1" s="50"/>
      <c r="AD1" s="50"/>
      <c r="AE1" s="55"/>
      <c r="AF1" s="50"/>
      <c r="AG1" s="50"/>
      <c r="AH1" s="55"/>
      <c r="AI1" s="50"/>
      <c r="AJ1" s="50"/>
      <c r="AK1" s="55"/>
      <c r="AL1" s="50"/>
      <c r="AM1" s="50"/>
      <c r="AN1" s="54"/>
      <c r="AP1" s="50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</row>
    <row r="2" spans="1:59" s="41" customFormat="1" ht="15.75" thickBot="1" x14ac:dyDescent="0.3">
      <c r="A2" s="160"/>
      <c r="B2" s="160"/>
      <c r="C2" s="161" t="s">
        <v>52</v>
      </c>
      <c r="D2" s="162"/>
      <c r="E2" s="162"/>
      <c r="F2" s="162"/>
      <c r="G2" s="162"/>
      <c r="H2" s="163"/>
      <c r="I2" s="88"/>
      <c r="J2" s="138" t="s">
        <v>62</v>
      </c>
      <c r="K2" s="139"/>
      <c r="L2" s="139"/>
      <c r="M2" s="139"/>
      <c r="N2" s="139"/>
      <c r="O2" s="139"/>
      <c r="P2" s="139"/>
      <c r="Q2" s="139"/>
      <c r="R2" s="139"/>
      <c r="S2" s="139"/>
      <c r="T2" s="94"/>
      <c r="U2" s="140" t="s">
        <v>63</v>
      </c>
      <c r="V2" s="141"/>
      <c r="W2" s="141"/>
      <c r="X2" s="141"/>
      <c r="Y2" s="141"/>
      <c r="Z2" s="141"/>
      <c r="AA2" s="141"/>
      <c r="AB2" s="141"/>
      <c r="AC2" s="141"/>
      <c r="AD2" s="141"/>
      <c r="AE2" s="94"/>
      <c r="AF2" s="156" t="s">
        <v>64</v>
      </c>
      <c r="AG2" s="157"/>
      <c r="AH2" s="157"/>
      <c r="AI2" s="157"/>
      <c r="AJ2" s="157"/>
      <c r="AK2" s="158"/>
      <c r="AL2" s="94"/>
      <c r="AM2" s="168" t="s">
        <v>65</v>
      </c>
      <c r="AN2" s="169"/>
      <c r="AO2" s="169"/>
      <c r="AP2" s="169"/>
      <c r="AQ2" s="169"/>
      <c r="AR2" s="169"/>
      <c r="AS2" s="169"/>
      <c r="AT2" s="169"/>
      <c r="AU2" s="169"/>
      <c r="AV2" s="170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</row>
    <row r="3" spans="1:59" s="71" customFormat="1" ht="71.45" customHeight="1" x14ac:dyDescent="0.25">
      <c r="A3" s="84" t="s">
        <v>158</v>
      </c>
      <c r="B3" s="84" t="s">
        <v>0</v>
      </c>
      <c r="C3" s="85" t="s">
        <v>133</v>
      </c>
      <c r="D3" s="85" t="s">
        <v>134</v>
      </c>
      <c r="E3" s="86" t="s">
        <v>135</v>
      </c>
      <c r="F3" s="85" t="s">
        <v>136</v>
      </c>
      <c r="G3" s="85" t="s">
        <v>137</v>
      </c>
      <c r="H3" s="86" t="s">
        <v>138</v>
      </c>
      <c r="I3" s="89"/>
      <c r="J3" s="85" t="s">
        <v>133</v>
      </c>
      <c r="K3" s="85" t="s">
        <v>186</v>
      </c>
      <c r="L3" s="86" t="s">
        <v>187</v>
      </c>
      <c r="M3" s="85" t="s">
        <v>177</v>
      </c>
      <c r="N3" s="86" t="s">
        <v>178</v>
      </c>
      <c r="O3" s="85" t="s">
        <v>136</v>
      </c>
      <c r="P3" s="85" t="s">
        <v>185</v>
      </c>
      <c r="Q3" s="86" t="s">
        <v>184</v>
      </c>
      <c r="R3" s="85" t="s">
        <v>179</v>
      </c>
      <c r="S3" s="86" t="s">
        <v>180</v>
      </c>
      <c r="T3" s="89"/>
      <c r="U3" s="85" t="s">
        <v>133</v>
      </c>
      <c r="V3" s="85" t="s">
        <v>186</v>
      </c>
      <c r="W3" s="86" t="s">
        <v>187</v>
      </c>
      <c r="X3" s="85" t="s">
        <v>177</v>
      </c>
      <c r="Y3" s="86" t="s">
        <v>178</v>
      </c>
      <c r="Z3" s="85" t="s">
        <v>136</v>
      </c>
      <c r="AA3" s="85" t="s">
        <v>185</v>
      </c>
      <c r="AB3" s="86" t="s">
        <v>184</v>
      </c>
      <c r="AC3" s="86" t="s">
        <v>179</v>
      </c>
      <c r="AD3" s="86" t="s">
        <v>180</v>
      </c>
      <c r="AE3" s="89"/>
      <c r="AF3" s="85" t="s">
        <v>133</v>
      </c>
      <c r="AG3" s="85" t="s">
        <v>134</v>
      </c>
      <c r="AH3" s="86" t="s">
        <v>135</v>
      </c>
      <c r="AI3" s="85" t="s">
        <v>136</v>
      </c>
      <c r="AJ3" s="85" t="s">
        <v>137</v>
      </c>
      <c r="AK3" s="86" t="s">
        <v>138</v>
      </c>
      <c r="AL3" s="89"/>
      <c r="AM3" s="85" t="s">
        <v>133</v>
      </c>
      <c r="AN3" s="85" t="s">
        <v>186</v>
      </c>
      <c r="AO3" s="86" t="s">
        <v>187</v>
      </c>
      <c r="AP3" s="85" t="s">
        <v>177</v>
      </c>
      <c r="AQ3" s="86" t="s">
        <v>178</v>
      </c>
      <c r="AR3" s="85" t="s">
        <v>136</v>
      </c>
      <c r="AS3" s="85" t="s">
        <v>185</v>
      </c>
      <c r="AT3" s="86" t="s">
        <v>184</v>
      </c>
      <c r="AU3" s="86" t="s">
        <v>179</v>
      </c>
      <c r="AV3" s="86" t="s">
        <v>180</v>
      </c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</row>
    <row r="4" spans="1:59" s="41" customFormat="1" x14ac:dyDescent="0.25">
      <c r="A4" s="164" t="s">
        <v>157</v>
      </c>
      <c r="B4" s="79" t="s">
        <v>119</v>
      </c>
      <c r="C4" s="109" t="s">
        <v>123</v>
      </c>
      <c r="D4" s="109" t="s">
        <v>53</v>
      </c>
      <c r="E4" s="53">
        <f>(83+85)/(52+54)-1</f>
        <v>0.58490566037735858</v>
      </c>
      <c r="F4" s="109" t="s">
        <v>127</v>
      </c>
      <c r="G4" s="109" t="s">
        <v>57</v>
      </c>
      <c r="H4" s="53">
        <f>(112.05+114.75)/(78+81)-1</f>
        <v>0.42641509433962277</v>
      </c>
      <c r="I4" s="77"/>
      <c r="J4" s="56" t="s">
        <v>107</v>
      </c>
      <c r="K4" s="112">
        <v>65</v>
      </c>
      <c r="L4" s="111">
        <f t="shared" ref="L4:L9" si="0">(K4+K4)/(41+43)-1</f>
        <v>0.54761904761904767</v>
      </c>
      <c r="M4" s="60">
        <f>K4-(K4*0.02)</f>
        <v>63.7</v>
      </c>
      <c r="N4" s="66">
        <f>(M4+M4)/(41+43)-1</f>
        <v>0.51666666666666683</v>
      </c>
      <c r="O4" s="56">
        <v>63</v>
      </c>
      <c r="P4" s="112">
        <v>97.5</v>
      </c>
      <c r="Q4" s="111">
        <f t="shared" ref="Q4:Q9" si="1">P4/O4-1</f>
        <v>0.54761904761904767</v>
      </c>
      <c r="R4" s="60">
        <f>P4-(P4*0.02)</f>
        <v>95.55</v>
      </c>
      <c r="S4" s="66">
        <f>R4/O4-1</f>
        <v>0.51666666666666661</v>
      </c>
      <c r="T4" s="75"/>
      <c r="U4" s="57" t="s">
        <v>117</v>
      </c>
      <c r="V4" s="123">
        <v>82</v>
      </c>
      <c r="W4" s="124">
        <f>(V4+V4)/(60+62)-1</f>
        <v>0.34426229508196715</v>
      </c>
      <c r="X4" s="57">
        <f>V4-(V4*0.05)</f>
        <v>77.900000000000006</v>
      </c>
      <c r="Y4" s="68">
        <f>(X4+X4)/(60+62)-1</f>
        <v>0.27704918032786896</v>
      </c>
      <c r="Z4" s="127" t="s">
        <v>118</v>
      </c>
      <c r="AA4" s="57">
        <v>123</v>
      </c>
      <c r="AB4" s="129">
        <f>(AA4+AA4)/(90+93)-1</f>
        <v>0.34426229508196715</v>
      </c>
      <c r="AC4" s="57">
        <f>AA4-(AA4*0.05)</f>
        <v>116.85</v>
      </c>
      <c r="AD4" s="68">
        <f>(AC4+AC4)/(90+93)-1</f>
        <v>0.27704918032786874</v>
      </c>
      <c r="AE4" s="75"/>
      <c r="AF4" s="58" t="s">
        <v>142</v>
      </c>
      <c r="AG4" s="58">
        <v>71</v>
      </c>
      <c r="AH4" s="46">
        <f>(AG4+AG4)/(45+50)-1</f>
        <v>0.49473684210526314</v>
      </c>
      <c r="AI4" s="58" t="s">
        <v>145</v>
      </c>
      <c r="AJ4" s="58">
        <v>104</v>
      </c>
      <c r="AK4" s="46">
        <f>(AJ4+AJ4)/(63+69)-1</f>
        <v>0.57575757575757569</v>
      </c>
      <c r="AL4" s="77"/>
      <c r="AM4" s="59">
        <v>45</v>
      </c>
      <c r="AN4" s="132">
        <f t="shared" ref="AN4" si="2">SUM(AM4*1.45)</f>
        <v>65.25</v>
      </c>
      <c r="AO4" s="133">
        <f t="shared" ref="AO4:AO43" si="3">AN4/AM4-1</f>
        <v>0.44999999999999996</v>
      </c>
      <c r="AP4" s="59">
        <f>AN4-(AN4*0.05)</f>
        <v>61.987499999999997</v>
      </c>
      <c r="AQ4" s="69">
        <f>AP4/AM4-1</f>
        <v>0.37749999999999995</v>
      </c>
      <c r="AR4" s="59">
        <f t="shared" ref="AR4" si="4">SUM(AN4)</f>
        <v>65.25</v>
      </c>
      <c r="AS4" s="132">
        <f t="shared" ref="AS4" si="5">SUM(AR4*1.45)</f>
        <v>94.612499999999997</v>
      </c>
      <c r="AT4" s="135">
        <f t="shared" ref="AT4:AT43" si="6">AS4/AR4-1</f>
        <v>0.44999999999999996</v>
      </c>
      <c r="AU4" s="59">
        <f>AS4-(AS4*0.05)</f>
        <v>89.881874999999994</v>
      </c>
      <c r="AV4" s="69">
        <f>AU4/AR4-1</f>
        <v>0.37749999999999995</v>
      </c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</row>
    <row r="5" spans="1:59" s="41" customFormat="1" x14ac:dyDescent="0.25">
      <c r="A5" s="149"/>
      <c r="B5" s="79" t="s">
        <v>120</v>
      </c>
      <c r="C5" s="109" t="s">
        <v>124</v>
      </c>
      <c r="D5" s="109" t="s">
        <v>54</v>
      </c>
      <c r="E5" s="53">
        <f>(87+85)/(54+56)-1</f>
        <v>0.56363636363636371</v>
      </c>
      <c r="F5" s="109" t="s">
        <v>128</v>
      </c>
      <c r="G5" s="109" t="s">
        <v>58</v>
      </c>
      <c r="H5" s="53">
        <f>(114.75+117.45)/(81+84)-1</f>
        <v>0.40727272727272723</v>
      </c>
      <c r="I5" s="77"/>
      <c r="J5" s="56" t="s">
        <v>107</v>
      </c>
      <c r="K5" s="112">
        <v>65</v>
      </c>
      <c r="L5" s="111">
        <f t="shared" si="0"/>
        <v>0.54761904761904767</v>
      </c>
      <c r="M5" s="60">
        <f t="shared" ref="M5:M9" si="7">K5-(K5*0.02)</f>
        <v>63.7</v>
      </c>
      <c r="N5" s="66">
        <f t="shared" ref="N5:N9" si="8">(M5+M5)/(41+43)-1</f>
        <v>0.51666666666666683</v>
      </c>
      <c r="O5" s="56">
        <v>63</v>
      </c>
      <c r="P5" s="112">
        <v>97.5</v>
      </c>
      <c r="Q5" s="111">
        <f t="shared" si="1"/>
        <v>0.54761904761904767</v>
      </c>
      <c r="R5" s="60">
        <f t="shared" ref="R5:R16" si="9">P5-(P5*0.02)</f>
        <v>95.55</v>
      </c>
      <c r="S5" s="66">
        <f t="shared" ref="S5:S16" si="10">R5/O5-1</f>
        <v>0.51666666666666661</v>
      </c>
      <c r="T5" s="75"/>
      <c r="U5" s="57" t="s">
        <v>117</v>
      </c>
      <c r="V5" s="123">
        <v>82</v>
      </c>
      <c r="W5" s="124">
        <f t="shared" ref="W5:W9" si="11">(V5+V5)/(60+62)-1</f>
        <v>0.34426229508196715</v>
      </c>
      <c r="X5" s="57">
        <f t="shared" ref="X5:X16" si="12">V5-(V5*0.05)</f>
        <v>77.900000000000006</v>
      </c>
      <c r="Y5" s="68">
        <f t="shared" ref="Y5:Y9" si="13">(X5+X5)/(60+62)-1</f>
        <v>0.27704918032786896</v>
      </c>
      <c r="Z5" s="127" t="s">
        <v>118</v>
      </c>
      <c r="AA5" s="123">
        <v>123</v>
      </c>
      <c r="AB5" s="129">
        <f t="shared" ref="AB5:AB9" si="14">(AA5+AA5)/(90+93)-1</f>
        <v>0.34426229508196715</v>
      </c>
      <c r="AC5" s="57">
        <f t="shared" ref="AC5:AC16" si="15">AA5-(AA5*0.05)</f>
        <v>116.85</v>
      </c>
      <c r="AD5" s="68">
        <f t="shared" ref="AD5:AD9" si="16">(AC5+AC5)/(90+93)-1</f>
        <v>0.27704918032786874</v>
      </c>
      <c r="AE5" s="75"/>
      <c r="AF5" s="58" t="s">
        <v>142</v>
      </c>
      <c r="AG5" s="58">
        <v>71</v>
      </c>
      <c r="AH5" s="46">
        <f t="shared" ref="AH5:AH9" si="17">(AG5+AG5)/(45+50)-1</f>
        <v>0.49473684210526314</v>
      </c>
      <c r="AI5" s="58" t="s">
        <v>145</v>
      </c>
      <c r="AJ5" s="58">
        <v>104</v>
      </c>
      <c r="AK5" s="46">
        <f t="shared" ref="AK5:AK9" si="18">(AJ5+AJ5)/(63+69)-1</f>
        <v>0.57575757575757569</v>
      </c>
      <c r="AL5" s="77"/>
      <c r="AM5" s="59">
        <v>47</v>
      </c>
      <c r="AN5" s="132">
        <f>SUM(AM5*1.45)</f>
        <v>68.149999999999991</v>
      </c>
      <c r="AO5" s="133">
        <f t="shared" si="3"/>
        <v>0.44999999999999973</v>
      </c>
      <c r="AP5" s="59">
        <f t="shared" ref="AP5:AP16" si="19">AN5-(AN5*0.05)</f>
        <v>64.742499999999993</v>
      </c>
      <c r="AQ5" s="69">
        <f t="shared" ref="AQ5:AQ15" si="20">AP5/AM5-1</f>
        <v>0.37749999999999995</v>
      </c>
      <c r="AR5" s="59">
        <f>SUM(AN5)</f>
        <v>68.149999999999991</v>
      </c>
      <c r="AS5" s="132">
        <f>SUM(AR5*1.45)</f>
        <v>98.817499999999981</v>
      </c>
      <c r="AT5" s="135">
        <f t="shared" si="6"/>
        <v>0.44999999999999996</v>
      </c>
      <c r="AU5" s="59">
        <f t="shared" ref="AU5:AU16" si="21">AS5-(AS5*0.05)</f>
        <v>93.876624999999976</v>
      </c>
      <c r="AV5" s="69">
        <f t="shared" ref="AV5:AV16" si="22">AU5/AR5-1</f>
        <v>0.37749999999999972</v>
      </c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</row>
    <row r="6" spans="1:59" s="41" customFormat="1" x14ac:dyDescent="0.25">
      <c r="A6" s="149"/>
      <c r="B6" s="79" t="s">
        <v>175</v>
      </c>
      <c r="C6" s="109" t="s">
        <v>125</v>
      </c>
      <c r="D6" s="109" t="s">
        <v>55</v>
      </c>
      <c r="E6" s="53">
        <f>(87+89)/(56+58)-1</f>
        <v>0.54385964912280693</v>
      </c>
      <c r="F6" s="109" t="s">
        <v>129</v>
      </c>
      <c r="G6" s="109" t="s">
        <v>59</v>
      </c>
      <c r="H6" s="53">
        <f>(117.45+120.15)/(84+87)-1</f>
        <v>0.38947368421052642</v>
      </c>
      <c r="I6" s="77"/>
      <c r="J6" s="56" t="s">
        <v>107</v>
      </c>
      <c r="K6" s="112">
        <v>65</v>
      </c>
      <c r="L6" s="111">
        <f t="shared" si="0"/>
        <v>0.54761904761904767</v>
      </c>
      <c r="M6" s="60">
        <f t="shared" si="7"/>
        <v>63.7</v>
      </c>
      <c r="N6" s="66">
        <f t="shared" si="8"/>
        <v>0.51666666666666683</v>
      </c>
      <c r="O6" s="56">
        <v>63</v>
      </c>
      <c r="P6" s="112">
        <v>97.5</v>
      </c>
      <c r="Q6" s="111">
        <f t="shared" si="1"/>
        <v>0.54761904761904767</v>
      </c>
      <c r="R6" s="60">
        <f t="shared" si="9"/>
        <v>95.55</v>
      </c>
      <c r="S6" s="66">
        <f t="shared" si="10"/>
        <v>0.51666666666666661</v>
      </c>
      <c r="T6" s="75"/>
      <c r="U6" s="57" t="s">
        <v>117</v>
      </c>
      <c r="V6" s="123">
        <v>82</v>
      </c>
      <c r="W6" s="124">
        <f t="shared" si="11"/>
        <v>0.34426229508196715</v>
      </c>
      <c r="X6" s="57">
        <f t="shared" si="12"/>
        <v>77.900000000000006</v>
      </c>
      <c r="Y6" s="68">
        <f t="shared" si="13"/>
        <v>0.27704918032786896</v>
      </c>
      <c r="Z6" s="127" t="s">
        <v>118</v>
      </c>
      <c r="AA6" s="123">
        <v>123</v>
      </c>
      <c r="AB6" s="129">
        <f t="shared" si="14"/>
        <v>0.34426229508196715</v>
      </c>
      <c r="AC6" s="57">
        <f t="shared" si="15"/>
        <v>116.85</v>
      </c>
      <c r="AD6" s="68">
        <f t="shared" si="16"/>
        <v>0.27704918032786874</v>
      </c>
      <c r="AE6" s="75"/>
      <c r="AF6" s="58" t="s">
        <v>142</v>
      </c>
      <c r="AG6" s="58">
        <v>71</v>
      </c>
      <c r="AH6" s="46">
        <f t="shared" si="17"/>
        <v>0.49473684210526314</v>
      </c>
      <c r="AI6" s="58" t="s">
        <v>145</v>
      </c>
      <c r="AJ6" s="58">
        <v>104</v>
      </c>
      <c r="AK6" s="46">
        <f t="shared" si="18"/>
        <v>0.57575757575757569</v>
      </c>
      <c r="AL6" s="77"/>
      <c r="AM6" s="59">
        <v>49</v>
      </c>
      <c r="AN6" s="132">
        <f>SUM(AM6*1.45)</f>
        <v>71.05</v>
      </c>
      <c r="AO6" s="133">
        <f t="shared" si="3"/>
        <v>0.44999999999999996</v>
      </c>
      <c r="AP6" s="59">
        <f t="shared" si="19"/>
        <v>67.497500000000002</v>
      </c>
      <c r="AQ6" s="69">
        <f t="shared" si="20"/>
        <v>0.37749999999999995</v>
      </c>
      <c r="AR6" s="59">
        <f>SUM(AN6)</f>
        <v>71.05</v>
      </c>
      <c r="AS6" s="132">
        <f>SUM(AR6*1.45)</f>
        <v>103.02249999999999</v>
      </c>
      <c r="AT6" s="135">
        <f t="shared" si="6"/>
        <v>0.44999999999999996</v>
      </c>
      <c r="AU6" s="59">
        <f t="shared" si="21"/>
        <v>97.871375</v>
      </c>
      <c r="AV6" s="69">
        <f t="shared" si="22"/>
        <v>0.37750000000000017</v>
      </c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</row>
    <row r="7" spans="1:59" s="41" customFormat="1" x14ac:dyDescent="0.25">
      <c r="A7" s="149"/>
      <c r="B7" s="79" t="s">
        <v>121</v>
      </c>
      <c r="C7" s="109" t="s">
        <v>123</v>
      </c>
      <c r="D7" s="109" t="s">
        <v>53</v>
      </c>
      <c r="E7" s="53">
        <f>(83+85)/(52+54)-1</f>
        <v>0.58490566037735858</v>
      </c>
      <c r="F7" s="109" t="s">
        <v>127</v>
      </c>
      <c r="G7" s="109" t="s">
        <v>57</v>
      </c>
      <c r="H7" s="53">
        <f>(112.05+114.75)/(78+81)-1</f>
        <v>0.42641509433962277</v>
      </c>
      <c r="I7" s="77"/>
      <c r="J7" s="56" t="s">
        <v>107</v>
      </c>
      <c r="K7" s="112">
        <v>65</v>
      </c>
      <c r="L7" s="111">
        <f t="shared" si="0"/>
        <v>0.54761904761904767</v>
      </c>
      <c r="M7" s="60">
        <f t="shared" si="7"/>
        <v>63.7</v>
      </c>
      <c r="N7" s="66">
        <f t="shared" si="8"/>
        <v>0.51666666666666683</v>
      </c>
      <c r="O7" s="56">
        <v>63</v>
      </c>
      <c r="P7" s="112">
        <v>97.5</v>
      </c>
      <c r="Q7" s="111">
        <f t="shared" si="1"/>
        <v>0.54761904761904767</v>
      </c>
      <c r="R7" s="60">
        <f t="shared" si="9"/>
        <v>95.55</v>
      </c>
      <c r="S7" s="66">
        <f t="shared" si="10"/>
        <v>0.51666666666666661</v>
      </c>
      <c r="T7" s="75"/>
      <c r="U7" s="57" t="s">
        <v>117</v>
      </c>
      <c r="V7" s="123">
        <v>82</v>
      </c>
      <c r="W7" s="124">
        <f t="shared" si="11"/>
        <v>0.34426229508196715</v>
      </c>
      <c r="X7" s="57">
        <f t="shared" si="12"/>
        <v>77.900000000000006</v>
      </c>
      <c r="Y7" s="68">
        <f t="shared" si="13"/>
        <v>0.27704918032786896</v>
      </c>
      <c r="Z7" s="127" t="s">
        <v>118</v>
      </c>
      <c r="AA7" s="123">
        <v>123</v>
      </c>
      <c r="AB7" s="129">
        <f t="shared" si="14"/>
        <v>0.34426229508196715</v>
      </c>
      <c r="AC7" s="57">
        <f t="shared" si="15"/>
        <v>116.85</v>
      </c>
      <c r="AD7" s="68">
        <f t="shared" si="16"/>
        <v>0.27704918032786874</v>
      </c>
      <c r="AE7" s="75"/>
      <c r="AF7" s="58" t="s">
        <v>142</v>
      </c>
      <c r="AG7" s="58">
        <v>71</v>
      </c>
      <c r="AH7" s="46">
        <f t="shared" si="17"/>
        <v>0.49473684210526314</v>
      </c>
      <c r="AI7" s="58" t="s">
        <v>145</v>
      </c>
      <c r="AJ7" s="58">
        <v>104</v>
      </c>
      <c r="AK7" s="46">
        <f t="shared" si="18"/>
        <v>0.57575757575757569</v>
      </c>
      <c r="AL7" s="77"/>
      <c r="AM7" s="59">
        <v>47</v>
      </c>
      <c r="AN7" s="132">
        <f>SUM(AM7*1.45)</f>
        <v>68.149999999999991</v>
      </c>
      <c r="AO7" s="133">
        <f t="shared" si="3"/>
        <v>0.44999999999999973</v>
      </c>
      <c r="AP7" s="59">
        <f t="shared" si="19"/>
        <v>64.742499999999993</v>
      </c>
      <c r="AQ7" s="69">
        <f t="shared" si="20"/>
        <v>0.37749999999999995</v>
      </c>
      <c r="AR7" s="59">
        <f>SUM(AN7)</f>
        <v>68.149999999999991</v>
      </c>
      <c r="AS7" s="132">
        <f>SUM(AR7*1.45)</f>
        <v>98.817499999999981</v>
      </c>
      <c r="AT7" s="135">
        <f t="shared" si="6"/>
        <v>0.44999999999999996</v>
      </c>
      <c r="AU7" s="59">
        <f t="shared" si="21"/>
        <v>93.876624999999976</v>
      </c>
      <c r="AV7" s="69">
        <f t="shared" si="22"/>
        <v>0.37749999999999972</v>
      </c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</row>
    <row r="8" spans="1:59" s="41" customFormat="1" x14ac:dyDescent="0.25">
      <c r="A8" s="149"/>
      <c r="B8" s="79" t="s">
        <v>122</v>
      </c>
      <c r="C8" s="109" t="s">
        <v>124</v>
      </c>
      <c r="D8" s="109" t="s">
        <v>54</v>
      </c>
      <c r="E8" s="53">
        <f>(85+87)/(54+56)-1</f>
        <v>0.56363636363636371</v>
      </c>
      <c r="F8" s="109" t="s">
        <v>128</v>
      </c>
      <c r="G8" s="109" t="s">
        <v>58</v>
      </c>
      <c r="H8" s="53">
        <f>(114.75+117.45)/(81+84)-1</f>
        <v>0.40727272727272723</v>
      </c>
      <c r="I8" s="77"/>
      <c r="J8" s="56" t="s">
        <v>107</v>
      </c>
      <c r="K8" s="112">
        <v>65</v>
      </c>
      <c r="L8" s="111">
        <f t="shared" si="0"/>
        <v>0.54761904761904767</v>
      </c>
      <c r="M8" s="60">
        <f t="shared" si="7"/>
        <v>63.7</v>
      </c>
      <c r="N8" s="66">
        <f t="shared" si="8"/>
        <v>0.51666666666666683</v>
      </c>
      <c r="O8" s="56">
        <v>63</v>
      </c>
      <c r="P8" s="112">
        <v>97.5</v>
      </c>
      <c r="Q8" s="111">
        <f t="shared" si="1"/>
        <v>0.54761904761904767</v>
      </c>
      <c r="R8" s="60">
        <f t="shared" si="9"/>
        <v>95.55</v>
      </c>
      <c r="S8" s="66">
        <f t="shared" si="10"/>
        <v>0.51666666666666661</v>
      </c>
      <c r="T8" s="75"/>
      <c r="U8" s="57" t="s">
        <v>117</v>
      </c>
      <c r="V8" s="123">
        <v>82</v>
      </c>
      <c r="W8" s="124">
        <f t="shared" si="11"/>
        <v>0.34426229508196715</v>
      </c>
      <c r="X8" s="57">
        <f t="shared" si="12"/>
        <v>77.900000000000006</v>
      </c>
      <c r="Y8" s="68">
        <f t="shared" si="13"/>
        <v>0.27704918032786896</v>
      </c>
      <c r="Z8" s="127" t="s">
        <v>118</v>
      </c>
      <c r="AA8" s="123">
        <v>123</v>
      </c>
      <c r="AB8" s="129">
        <f t="shared" si="14"/>
        <v>0.34426229508196715</v>
      </c>
      <c r="AC8" s="57">
        <f t="shared" si="15"/>
        <v>116.85</v>
      </c>
      <c r="AD8" s="68">
        <f t="shared" si="16"/>
        <v>0.27704918032786874</v>
      </c>
      <c r="AE8" s="75"/>
      <c r="AF8" s="58" t="s">
        <v>142</v>
      </c>
      <c r="AG8" s="58">
        <v>71</v>
      </c>
      <c r="AH8" s="46">
        <f t="shared" si="17"/>
        <v>0.49473684210526314</v>
      </c>
      <c r="AI8" s="58" t="s">
        <v>145</v>
      </c>
      <c r="AJ8" s="58">
        <v>104</v>
      </c>
      <c r="AK8" s="46">
        <f t="shared" si="18"/>
        <v>0.57575757575757569</v>
      </c>
      <c r="AL8" s="77"/>
      <c r="AM8" s="59">
        <v>49</v>
      </c>
      <c r="AN8" s="132">
        <f>SUM(AM8*1.45)</f>
        <v>71.05</v>
      </c>
      <c r="AO8" s="133">
        <f t="shared" si="3"/>
        <v>0.44999999999999996</v>
      </c>
      <c r="AP8" s="59">
        <f t="shared" si="19"/>
        <v>67.497500000000002</v>
      </c>
      <c r="AQ8" s="69">
        <f t="shared" si="20"/>
        <v>0.37749999999999995</v>
      </c>
      <c r="AR8" s="59">
        <f>SUM(AN8)</f>
        <v>71.05</v>
      </c>
      <c r="AS8" s="132">
        <f>SUM(AR8*1.45)</f>
        <v>103.02249999999999</v>
      </c>
      <c r="AT8" s="135">
        <f t="shared" si="6"/>
        <v>0.44999999999999996</v>
      </c>
      <c r="AU8" s="59">
        <f t="shared" si="21"/>
        <v>97.871375</v>
      </c>
      <c r="AV8" s="69">
        <f t="shared" si="22"/>
        <v>0.37750000000000017</v>
      </c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</row>
    <row r="9" spans="1:59" s="41" customFormat="1" x14ac:dyDescent="0.25">
      <c r="A9" s="150"/>
      <c r="B9" s="79" t="s">
        <v>176</v>
      </c>
      <c r="C9" s="109" t="s">
        <v>126</v>
      </c>
      <c r="D9" s="109" t="s">
        <v>56</v>
      </c>
      <c r="E9" s="53">
        <f>(89+91)/(58+60)-1</f>
        <v>0.52542372881355925</v>
      </c>
      <c r="F9" s="109" t="s">
        <v>130</v>
      </c>
      <c r="G9" s="109" t="s">
        <v>60</v>
      </c>
      <c r="H9" s="53">
        <f>(120.15+122.85)/(87+90)-1</f>
        <v>0.37288135593220328</v>
      </c>
      <c r="I9" s="77"/>
      <c r="J9" s="56" t="s">
        <v>107</v>
      </c>
      <c r="K9" s="112">
        <v>65</v>
      </c>
      <c r="L9" s="111">
        <f t="shared" si="0"/>
        <v>0.54761904761904767</v>
      </c>
      <c r="M9" s="60">
        <f t="shared" si="7"/>
        <v>63.7</v>
      </c>
      <c r="N9" s="66">
        <f t="shared" si="8"/>
        <v>0.51666666666666683</v>
      </c>
      <c r="O9" s="56">
        <v>63</v>
      </c>
      <c r="P9" s="112">
        <v>97.5</v>
      </c>
      <c r="Q9" s="111">
        <f t="shared" si="1"/>
        <v>0.54761904761904767</v>
      </c>
      <c r="R9" s="60">
        <f t="shared" si="9"/>
        <v>95.55</v>
      </c>
      <c r="S9" s="66">
        <f t="shared" si="10"/>
        <v>0.51666666666666661</v>
      </c>
      <c r="T9" s="75"/>
      <c r="U9" s="57" t="s">
        <v>117</v>
      </c>
      <c r="V9" s="123">
        <v>82</v>
      </c>
      <c r="W9" s="124">
        <f t="shared" si="11"/>
        <v>0.34426229508196715</v>
      </c>
      <c r="X9" s="57">
        <f t="shared" si="12"/>
        <v>77.900000000000006</v>
      </c>
      <c r="Y9" s="68">
        <f t="shared" si="13"/>
        <v>0.27704918032786896</v>
      </c>
      <c r="Z9" s="127" t="s">
        <v>118</v>
      </c>
      <c r="AA9" s="123">
        <v>123</v>
      </c>
      <c r="AB9" s="129">
        <f t="shared" si="14"/>
        <v>0.34426229508196715</v>
      </c>
      <c r="AC9" s="57">
        <f t="shared" si="15"/>
        <v>116.85</v>
      </c>
      <c r="AD9" s="68">
        <f t="shared" si="16"/>
        <v>0.27704918032786874</v>
      </c>
      <c r="AE9" s="75"/>
      <c r="AF9" s="58" t="s">
        <v>142</v>
      </c>
      <c r="AG9" s="58">
        <v>71</v>
      </c>
      <c r="AH9" s="46">
        <f t="shared" si="17"/>
        <v>0.49473684210526314</v>
      </c>
      <c r="AI9" s="58" t="s">
        <v>145</v>
      </c>
      <c r="AJ9" s="58">
        <v>104</v>
      </c>
      <c r="AK9" s="46">
        <f t="shared" si="18"/>
        <v>0.57575757575757569</v>
      </c>
      <c r="AL9" s="77"/>
      <c r="AM9" s="59">
        <v>51</v>
      </c>
      <c r="AN9" s="132">
        <f t="shared" ref="AN9:AN43" si="23">SUM(AM9*1.45)</f>
        <v>73.95</v>
      </c>
      <c r="AO9" s="133">
        <f t="shared" si="3"/>
        <v>0.44999999999999996</v>
      </c>
      <c r="AP9" s="59">
        <f t="shared" si="19"/>
        <v>70.252499999999998</v>
      </c>
      <c r="AQ9" s="69">
        <f t="shared" si="20"/>
        <v>0.37749999999999995</v>
      </c>
      <c r="AR9" s="59">
        <f t="shared" ref="AR9:AR43" si="24">SUM(AN9)</f>
        <v>73.95</v>
      </c>
      <c r="AS9" s="132">
        <f t="shared" ref="AS9:AS43" si="25">SUM(AR9*1.45)</f>
        <v>107.22750000000001</v>
      </c>
      <c r="AT9" s="135">
        <f t="shared" si="6"/>
        <v>0.44999999999999996</v>
      </c>
      <c r="AU9" s="59">
        <f t="shared" si="21"/>
        <v>101.86612500000001</v>
      </c>
      <c r="AV9" s="69">
        <f t="shared" si="22"/>
        <v>0.37750000000000017</v>
      </c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</row>
    <row r="10" spans="1:59" s="78" customFormat="1" ht="8.4499999999999993" customHeight="1" x14ac:dyDescent="0.25">
      <c r="A10" s="93"/>
      <c r="B10" s="73"/>
      <c r="C10" s="76"/>
      <c r="D10" s="76"/>
      <c r="E10" s="77"/>
      <c r="F10" s="76"/>
      <c r="G10" s="76"/>
      <c r="H10" s="77"/>
      <c r="I10" s="77"/>
      <c r="J10" s="76"/>
      <c r="K10" s="76"/>
      <c r="L10" s="75"/>
      <c r="M10" s="74"/>
      <c r="N10" s="75"/>
      <c r="O10" s="76"/>
      <c r="P10" s="119"/>
      <c r="Q10" s="130"/>
      <c r="R10" s="74"/>
      <c r="S10" s="75"/>
      <c r="T10" s="75"/>
      <c r="U10" s="76"/>
      <c r="V10" s="119"/>
      <c r="W10" s="125"/>
      <c r="X10" s="77"/>
      <c r="Y10" s="77"/>
      <c r="Z10" s="128"/>
      <c r="AA10" s="119"/>
      <c r="AB10" s="130"/>
      <c r="AC10" s="75"/>
      <c r="AD10" s="75"/>
      <c r="AE10" s="75"/>
      <c r="AF10" s="76"/>
      <c r="AG10" s="76"/>
      <c r="AH10" s="77"/>
      <c r="AI10" s="76"/>
      <c r="AJ10" s="76"/>
      <c r="AK10" s="77"/>
      <c r="AL10" s="77"/>
      <c r="AM10" s="76"/>
      <c r="AN10" s="119"/>
      <c r="AO10" s="126"/>
      <c r="AP10" s="77"/>
      <c r="AQ10" s="77"/>
      <c r="AR10" s="76"/>
      <c r="AS10" s="119"/>
      <c r="AT10" s="130"/>
      <c r="AU10" s="75"/>
      <c r="AV10" s="75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</row>
    <row r="11" spans="1:59" s="41" customFormat="1" x14ac:dyDescent="0.25">
      <c r="A11" s="164" t="s">
        <v>156</v>
      </c>
      <c r="B11" s="79" t="s">
        <v>119</v>
      </c>
      <c r="C11" s="44">
        <v>14</v>
      </c>
      <c r="D11" s="44">
        <v>22</v>
      </c>
      <c r="E11" s="52">
        <f t="shared" ref="E11:E16" si="26">(D11/C11)-1</f>
        <v>0.5714285714285714</v>
      </c>
      <c r="F11" s="44">
        <v>21</v>
      </c>
      <c r="G11" s="44">
        <v>29.7</v>
      </c>
      <c r="H11" s="52">
        <f t="shared" ref="H11:H16" si="27">G11/F11-1</f>
        <v>0.41428571428571415</v>
      </c>
      <c r="I11" s="75"/>
      <c r="J11" s="60" t="s">
        <v>104</v>
      </c>
      <c r="K11" s="110">
        <v>20</v>
      </c>
      <c r="L11" s="111">
        <f>(K11+K11)/(13+15)-1</f>
        <v>0.4285714285714286</v>
      </c>
      <c r="M11" s="60">
        <f t="shared" ref="M11:M16" si="28">K11-(K11*0.02)</f>
        <v>19.600000000000001</v>
      </c>
      <c r="N11" s="66">
        <f>(M11+M11)/(13+15)-1</f>
        <v>0.40000000000000013</v>
      </c>
      <c r="O11" s="60">
        <v>22.5</v>
      </c>
      <c r="P11" s="110">
        <v>30</v>
      </c>
      <c r="Q11" s="111">
        <f t="shared" ref="Q11:Q16" si="29">P11/O11-1</f>
        <v>0.33333333333333326</v>
      </c>
      <c r="R11" s="60">
        <f t="shared" si="9"/>
        <v>29.4</v>
      </c>
      <c r="S11" s="66">
        <f t="shared" si="10"/>
        <v>0.30666666666666664</v>
      </c>
      <c r="T11" s="75"/>
      <c r="U11" s="57" t="s">
        <v>113</v>
      </c>
      <c r="V11" s="123">
        <v>23</v>
      </c>
      <c r="W11" s="124">
        <f>(V11+V11)/(13+15)-1</f>
        <v>0.64285714285714279</v>
      </c>
      <c r="X11" s="57">
        <f t="shared" si="12"/>
        <v>21.85</v>
      </c>
      <c r="Y11" s="68">
        <f>(X11+X11)/(13+15)-1</f>
        <v>0.56071428571428572</v>
      </c>
      <c r="Z11" s="127" t="s">
        <v>114</v>
      </c>
      <c r="AA11" s="123">
        <v>34.5</v>
      </c>
      <c r="AB11" s="129">
        <f>(AA11+AA11)/(20.25+22.5)-1</f>
        <v>0.61403508771929816</v>
      </c>
      <c r="AC11" s="57">
        <f t="shared" si="15"/>
        <v>32.774999999999999</v>
      </c>
      <c r="AD11" s="68">
        <f>(AC11+AC11)/(20.25+22.5)-1</f>
        <v>0.53333333333333321</v>
      </c>
      <c r="AE11" s="75"/>
      <c r="AF11" s="58" t="s">
        <v>141</v>
      </c>
      <c r="AG11" s="58">
        <v>22</v>
      </c>
      <c r="AH11" s="46">
        <f>(AG11+AG11)/(12+15)-1</f>
        <v>0.62962962962962954</v>
      </c>
      <c r="AI11" s="58" t="s">
        <v>146</v>
      </c>
      <c r="AJ11" s="58">
        <v>31.5</v>
      </c>
      <c r="AK11" s="46">
        <f>(AJ11+AJ11)/(18+22.5)-1</f>
        <v>0.55555555555555558</v>
      </c>
      <c r="AL11" s="77"/>
      <c r="AM11" s="59">
        <v>15</v>
      </c>
      <c r="AN11" s="132">
        <f t="shared" ref="AN11:AN16" si="30">SUM(AM11*1.4)</f>
        <v>21</v>
      </c>
      <c r="AO11" s="133">
        <f t="shared" ref="AO11:AO16" si="31">AN11/AM11-1</f>
        <v>0.39999999999999991</v>
      </c>
      <c r="AP11" s="59">
        <f t="shared" si="19"/>
        <v>19.95</v>
      </c>
      <c r="AQ11" s="69">
        <f t="shared" si="20"/>
        <v>0.32999999999999985</v>
      </c>
      <c r="AR11" s="59">
        <f t="shared" ref="AR11:AR16" si="32">SUM(AN11)</f>
        <v>21</v>
      </c>
      <c r="AS11" s="132">
        <f t="shared" ref="AS11:AS16" si="33">SUM(AR11*1.4)</f>
        <v>29.4</v>
      </c>
      <c r="AT11" s="135">
        <f t="shared" ref="AT11:AT16" si="34">AS11/AR11-1</f>
        <v>0.39999999999999991</v>
      </c>
      <c r="AU11" s="59">
        <f t="shared" si="21"/>
        <v>27.93</v>
      </c>
      <c r="AV11" s="69">
        <f t="shared" si="22"/>
        <v>0.33000000000000007</v>
      </c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</row>
    <row r="12" spans="1:59" s="41" customFormat="1" x14ac:dyDescent="0.25">
      <c r="A12" s="149"/>
      <c r="B12" s="79" t="s">
        <v>120</v>
      </c>
      <c r="C12" s="44">
        <v>14</v>
      </c>
      <c r="D12" s="44">
        <v>22</v>
      </c>
      <c r="E12" s="52">
        <f t="shared" si="26"/>
        <v>0.5714285714285714</v>
      </c>
      <c r="F12" s="44">
        <v>21</v>
      </c>
      <c r="G12" s="44">
        <v>29.7</v>
      </c>
      <c r="H12" s="52">
        <f t="shared" si="27"/>
        <v>0.41428571428571415</v>
      </c>
      <c r="I12" s="75"/>
      <c r="J12" s="60" t="s">
        <v>104</v>
      </c>
      <c r="K12" s="110">
        <v>20</v>
      </c>
      <c r="L12" s="111">
        <f>(K12+K12)/(13+15)-1</f>
        <v>0.4285714285714286</v>
      </c>
      <c r="M12" s="60">
        <f t="shared" si="28"/>
        <v>19.600000000000001</v>
      </c>
      <c r="N12" s="66">
        <f t="shared" ref="N12:N13" si="35">(M12+M12)/(13+15)-1</f>
        <v>0.40000000000000013</v>
      </c>
      <c r="O12" s="60">
        <v>22.5</v>
      </c>
      <c r="P12" s="110">
        <v>30</v>
      </c>
      <c r="Q12" s="111">
        <f t="shared" si="29"/>
        <v>0.33333333333333326</v>
      </c>
      <c r="R12" s="60">
        <f t="shared" si="9"/>
        <v>29.4</v>
      </c>
      <c r="S12" s="66">
        <f t="shared" si="10"/>
        <v>0.30666666666666664</v>
      </c>
      <c r="T12" s="75"/>
      <c r="U12" s="57" t="s">
        <v>113</v>
      </c>
      <c r="V12" s="123">
        <v>23</v>
      </c>
      <c r="W12" s="124">
        <f t="shared" ref="W12:W16" si="36">(V12+V12)/(13+15)-1</f>
        <v>0.64285714285714279</v>
      </c>
      <c r="X12" s="57">
        <f t="shared" si="12"/>
        <v>21.85</v>
      </c>
      <c r="Y12" s="68">
        <f t="shared" ref="Y12:Y16" si="37">(X12+X12)/(13+15)-1</f>
        <v>0.56071428571428572</v>
      </c>
      <c r="Z12" s="127" t="s">
        <v>114</v>
      </c>
      <c r="AA12" s="123">
        <v>34.5</v>
      </c>
      <c r="AB12" s="129">
        <f t="shared" ref="AB12:AB16" si="38">(AA12+AA12)/(20.25+22.5)-1</f>
        <v>0.61403508771929816</v>
      </c>
      <c r="AC12" s="57">
        <f t="shared" si="15"/>
        <v>32.774999999999999</v>
      </c>
      <c r="AD12" s="68">
        <f t="shared" ref="AD12:AD16" si="39">(AC12+AC12)/(20.25+22.5)-1</f>
        <v>0.53333333333333321</v>
      </c>
      <c r="AE12" s="75"/>
      <c r="AF12" s="58" t="s">
        <v>141</v>
      </c>
      <c r="AG12" s="58">
        <v>22</v>
      </c>
      <c r="AH12" s="46">
        <f t="shared" ref="AH12:AH16" si="40">(AG12+AG12)/(12+15)-1</f>
        <v>0.62962962962962954</v>
      </c>
      <c r="AI12" s="58" t="s">
        <v>146</v>
      </c>
      <c r="AJ12" s="58">
        <v>31.5</v>
      </c>
      <c r="AK12" s="46">
        <f t="shared" ref="AK12:AK16" si="41">(AJ12+AJ12)/(18+22.5)-1</f>
        <v>0.55555555555555558</v>
      </c>
      <c r="AL12" s="77"/>
      <c r="AM12" s="59">
        <v>15</v>
      </c>
      <c r="AN12" s="132">
        <f>SUM(AM12*1.4)</f>
        <v>21</v>
      </c>
      <c r="AO12" s="133">
        <f t="shared" si="31"/>
        <v>0.39999999999999991</v>
      </c>
      <c r="AP12" s="59">
        <f t="shared" si="19"/>
        <v>19.95</v>
      </c>
      <c r="AQ12" s="69">
        <f t="shared" si="20"/>
        <v>0.32999999999999985</v>
      </c>
      <c r="AR12" s="59">
        <f t="shared" si="32"/>
        <v>21</v>
      </c>
      <c r="AS12" s="132">
        <f>SUM(AR12*1.4)</f>
        <v>29.4</v>
      </c>
      <c r="AT12" s="135">
        <f t="shared" si="34"/>
        <v>0.39999999999999991</v>
      </c>
      <c r="AU12" s="59">
        <f t="shared" si="21"/>
        <v>27.93</v>
      </c>
      <c r="AV12" s="69">
        <f t="shared" si="22"/>
        <v>0.33000000000000007</v>
      </c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</row>
    <row r="13" spans="1:59" s="41" customFormat="1" x14ac:dyDescent="0.25">
      <c r="A13" s="149"/>
      <c r="B13" s="79" t="s">
        <v>175</v>
      </c>
      <c r="C13" s="44">
        <v>14</v>
      </c>
      <c r="D13" s="44">
        <v>22</v>
      </c>
      <c r="E13" s="52">
        <f t="shared" si="26"/>
        <v>0.5714285714285714</v>
      </c>
      <c r="F13" s="44">
        <v>21</v>
      </c>
      <c r="G13" s="44">
        <v>29.7</v>
      </c>
      <c r="H13" s="52">
        <f t="shared" si="27"/>
        <v>0.41428571428571415</v>
      </c>
      <c r="I13" s="75"/>
      <c r="J13" s="60" t="s">
        <v>104</v>
      </c>
      <c r="K13" s="110">
        <v>20</v>
      </c>
      <c r="L13" s="111">
        <f>(K13+K13)/(13+15)-1</f>
        <v>0.4285714285714286</v>
      </c>
      <c r="M13" s="60">
        <f t="shared" si="28"/>
        <v>19.600000000000001</v>
      </c>
      <c r="N13" s="66">
        <f t="shared" si="35"/>
        <v>0.40000000000000013</v>
      </c>
      <c r="O13" s="60">
        <v>22.5</v>
      </c>
      <c r="P13" s="110">
        <v>30</v>
      </c>
      <c r="Q13" s="111">
        <f t="shared" si="29"/>
        <v>0.33333333333333326</v>
      </c>
      <c r="R13" s="60">
        <f t="shared" si="9"/>
        <v>29.4</v>
      </c>
      <c r="S13" s="66">
        <f t="shared" si="10"/>
        <v>0.30666666666666664</v>
      </c>
      <c r="T13" s="75"/>
      <c r="U13" s="57" t="s">
        <v>113</v>
      </c>
      <c r="V13" s="123">
        <v>23</v>
      </c>
      <c r="W13" s="124">
        <f t="shared" si="36"/>
        <v>0.64285714285714279</v>
      </c>
      <c r="X13" s="57">
        <f t="shared" si="12"/>
        <v>21.85</v>
      </c>
      <c r="Y13" s="68">
        <f t="shared" si="37"/>
        <v>0.56071428571428572</v>
      </c>
      <c r="Z13" s="127" t="s">
        <v>114</v>
      </c>
      <c r="AA13" s="123">
        <v>34.5</v>
      </c>
      <c r="AB13" s="129">
        <f t="shared" si="38"/>
        <v>0.61403508771929816</v>
      </c>
      <c r="AC13" s="57">
        <f t="shared" si="15"/>
        <v>32.774999999999999</v>
      </c>
      <c r="AD13" s="68">
        <f t="shared" si="39"/>
        <v>0.53333333333333321</v>
      </c>
      <c r="AE13" s="75"/>
      <c r="AF13" s="58" t="s">
        <v>141</v>
      </c>
      <c r="AG13" s="58">
        <v>22</v>
      </c>
      <c r="AH13" s="46">
        <f t="shared" si="40"/>
        <v>0.62962962962962954</v>
      </c>
      <c r="AI13" s="58" t="s">
        <v>146</v>
      </c>
      <c r="AJ13" s="58">
        <v>31.5</v>
      </c>
      <c r="AK13" s="46">
        <f t="shared" si="41"/>
        <v>0.55555555555555558</v>
      </c>
      <c r="AL13" s="77"/>
      <c r="AM13" s="59">
        <v>15</v>
      </c>
      <c r="AN13" s="132">
        <f>SUM(AM13*1.4)</f>
        <v>21</v>
      </c>
      <c r="AO13" s="133">
        <f t="shared" si="31"/>
        <v>0.39999999999999991</v>
      </c>
      <c r="AP13" s="59">
        <f t="shared" si="19"/>
        <v>19.95</v>
      </c>
      <c r="AQ13" s="69">
        <f t="shared" si="20"/>
        <v>0.32999999999999985</v>
      </c>
      <c r="AR13" s="59">
        <f t="shared" si="32"/>
        <v>21</v>
      </c>
      <c r="AS13" s="132">
        <f>SUM(AR13*1.4)</f>
        <v>29.4</v>
      </c>
      <c r="AT13" s="135">
        <f t="shared" si="34"/>
        <v>0.39999999999999991</v>
      </c>
      <c r="AU13" s="59">
        <f t="shared" si="21"/>
        <v>27.93</v>
      </c>
      <c r="AV13" s="69">
        <f t="shared" si="22"/>
        <v>0.33000000000000007</v>
      </c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</row>
    <row r="14" spans="1:59" s="41" customFormat="1" x14ac:dyDescent="0.25">
      <c r="A14" s="149"/>
      <c r="B14" s="79" t="s">
        <v>121</v>
      </c>
      <c r="C14" s="44">
        <v>15</v>
      </c>
      <c r="D14" s="44">
        <v>23.5</v>
      </c>
      <c r="E14" s="52">
        <f t="shared" si="26"/>
        <v>0.56666666666666665</v>
      </c>
      <c r="F14" s="44">
        <v>22.5</v>
      </c>
      <c r="G14" s="44">
        <v>31.73</v>
      </c>
      <c r="H14" s="52">
        <f t="shared" si="27"/>
        <v>0.41022222222222227</v>
      </c>
      <c r="I14" s="75"/>
      <c r="J14" s="60" t="s">
        <v>105</v>
      </c>
      <c r="K14" s="110">
        <v>21.5</v>
      </c>
      <c r="L14" s="111">
        <f>(K14+K14)/(15+17)-1</f>
        <v>0.34375</v>
      </c>
      <c r="M14" s="60">
        <f t="shared" si="28"/>
        <v>21.07</v>
      </c>
      <c r="N14" s="66">
        <f>(M14+M14)/(17+15)-1</f>
        <v>0.31687500000000002</v>
      </c>
      <c r="O14" s="60">
        <v>24</v>
      </c>
      <c r="P14" s="110">
        <v>32</v>
      </c>
      <c r="Q14" s="111">
        <f t="shared" si="29"/>
        <v>0.33333333333333326</v>
      </c>
      <c r="R14" s="60">
        <f t="shared" si="9"/>
        <v>31.36</v>
      </c>
      <c r="S14" s="66">
        <f t="shared" si="10"/>
        <v>0.30666666666666664</v>
      </c>
      <c r="T14" s="75"/>
      <c r="U14" s="57" t="s">
        <v>113</v>
      </c>
      <c r="V14" s="123">
        <v>23</v>
      </c>
      <c r="W14" s="124">
        <f t="shared" si="36"/>
        <v>0.64285714285714279</v>
      </c>
      <c r="X14" s="57">
        <f t="shared" si="12"/>
        <v>21.85</v>
      </c>
      <c r="Y14" s="68">
        <f t="shared" si="37"/>
        <v>0.56071428571428572</v>
      </c>
      <c r="Z14" s="127" t="s">
        <v>114</v>
      </c>
      <c r="AA14" s="123">
        <v>34.5</v>
      </c>
      <c r="AB14" s="129">
        <f t="shared" si="38"/>
        <v>0.61403508771929816</v>
      </c>
      <c r="AC14" s="57">
        <f t="shared" si="15"/>
        <v>32.774999999999999</v>
      </c>
      <c r="AD14" s="68">
        <f t="shared" si="39"/>
        <v>0.53333333333333321</v>
      </c>
      <c r="AE14" s="75"/>
      <c r="AF14" s="58" t="s">
        <v>141</v>
      </c>
      <c r="AG14" s="58">
        <v>22</v>
      </c>
      <c r="AH14" s="46">
        <f t="shared" si="40"/>
        <v>0.62962962962962954</v>
      </c>
      <c r="AI14" s="58" t="s">
        <v>146</v>
      </c>
      <c r="AJ14" s="58">
        <v>31.5</v>
      </c>
      <c r="AK14" s="46">
        <f t="shared" si="41"/>
        <v>0.55555555555555558</v>
      </c>
      <c r="AL14" s="77"/>
      <c r="AM14" s="59">
        <v>16</v>
      </c>
      <c r="AN14" s="132">
        <f t="shared" si="30"/>
        <v>22.4</v>
      </c>
      <c r="AO14" s="133">
        <f t="shared" si="31"/>
        <v>0.39999999999999991</v>
      </c>
      <c r="AP14" s="59">
        <f t="shared" si="19"/>
        <v>21.279999999999998</v>
      </c>
      <c r="AQ14" s="69">
        <f t="shared" si="20"/>
        <v>0.32999999999999985</v>
      </c>
      <c r="AR14" s="59">
        <f t="shared" si="32"/>
        <v>22.4</v>
      </c>
      <c r="AS14" s="132">
        <f t="shared" si="33"/>
        <v>31.359999999999996</v>
      </c>
      <c r="AT14" s="135">
        <f t="shared" si="34"/>
        <v>0.39999999999999991</v>
      </c>
      <c r="AU14" s="59">
        <f t="shared" si="21"/>
        <v>29.791999999999994</v>
      </c>
      <c r="AV14" s="69">
        <f t="shared" si="22"/>
        <v>0.32999999999999985</v>
      </c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</row>
    <row r="15" spans="1:59" s="41" customFormat="1" x14ac:dyDescent="0.25">
      <c r="A15" s="149"/>
      <c r="B15" s="79" t="s">
        <v>122</v>
      </c>
      <c r="C15" s="44">
        <v>15</v>
      </c>
      <c r="D15" s="44">
        <v>23.5</v>
      </c>
      <c r="E15" s="52">
        <f t="shared" si="26"/>
        <v>0.56666666666666665</v>
      </c>
      <c r="F15" s="44">
        <v>22.5</v>
      </c>
      <c r="G15" s="44">
        <v>31.73</v>
      </c>
      <c r="H15" s="52">
        <f t="shared" si="27"/>
        <v>0.41022222222222227</v>
      </c>
      <c r="I15" s="75"/>
      <c r="J15" s="60" t="s">
        <v>105</v>
      </c>
      <c r="K15" s="110">
        <v>21.5</v>
      </c>
      <c r="L15" s="111">
        <f>(K15+K15)/(15+17)-1</f>
        <v>0.34375</v>
      </c>
      <c r="M15" s="60">
        <f t="shared" si="28"/>
        <v>21.07</v>
      </c>
      <c r="N15" s="66">
        <f t="shared" ref="N15:N16" si="42">(M15+M15)/(17+15)-1</f>
        <v>0.31687500000000002</v>
      </c>
      <c r="O15" s="60">
        <v>24</v>
      </c>
      <c r="P15" s="110">
        <v>32</v>
      </c>
      <c r="Q15" s="111">
        <f t="shared" si="29"/>
        <v>0.33333333333333326</v>
      </c>
      <c r="R15" s="60">
        <f t="shared" si="9"/>
        <v>31.36</v>
      </c>
      <c r="S15" s="66">
        <f t="shared" si="10"/>
        <v>0.30666666666666664</v>
      </c>
      <c r="T15" s="75"/>
      <c r="U15" s="57" t="s">
        <v>113</v>
      </c>
      <c r="V15" s="123">
        <v>23</v>
      </c>
      <c r="W15" s="124">
        <f t="shared" si="36"/>
        <v>0.64285714285714279</v>
      </c>
      <c r="X15" s="57">
        <f t="shared" si="12"/>
        <v>21.85</v>
      </c>
      <c r="Y15" s="68">
        <f t="shared" si="37"/>
        <v>0.56071428571428572</v>
      </c>
      <c r="Z15" s="127" t="s">
        <v>114</v>
      </c>
      <c r="AA15" s="123">
        <v>34.5</v>
      </c>
      <c r="AB15" s="129">
        <f t="shared" si="38"/>
        <v>0.61403508771929816</v>
      </c>
      <c r="AC15" s="57">
        <f t="shared" si="15"/>
        <v>32.774999999999999</v>
      </c>
      <c r="AD15" s="68">
        <f t="shared" si="39"/>
        <v>0.53333333333333321</v>
      </c>
      <c r="AE15" s="75"/>
      <c r="AF15" s="58" t="s">
        <v>141</v>
      </c>
      <c r="AG15" s="58">
        <v>22</v>
      </c>
      <c r="AH15" s="46">
        <f t="shared" si="40"/>
        <v>0.62962962962962954</v>
      </c>
      <c r="AI15" s="58" t="s">
        <v>146</v>
      </c>
      <c r="AJ15" s="58">
        <v>31.5</v>
      </c>
      <c r="AK15" s="46">
        <f t="shared" si="41"/>
        <v>0.55555555555555558</v>
      </c>
      <c r="AL15" s="77"/>
      <c r="AM15" s="59">
        <v>16</v>
      </c>
      <c r="AN15" s="132">
        <f t="shared" si="30"/>
        <v>22.4</v>
      </c>
      <c r="AO15" s="133">
        <f t="shared" si="31"/>
        <v>0.39999999999999991</v>
      </c>
      <c r="AP15" s="59">
        <f t="shared" si="19"/>
        <v>21.279999999999998</v>
      </c>
      <c r="AQ15" s="69">
        <f t="shared" si="20"/>
        <v>0.32999999999999985</v>
      </c>
      <c r="AR15" s="59">
        <f t="shared" si="32"/>
        <v>22.4</v>
      </c>
      <c r="AS15" s="132">
        <f t="shared" si="33"/>
        <v>31.359999999999996</v>
      </c>
      <c r="AT15" s="135">
        <f t="shared" si="34"/>
        <v>0.39999999999999991</v>
      </c>
      <c r="AU15" s="59">
        <f t="shared" si="21"/>
        <v>29.791999999999994</v>
      </c>
      <c r="AV15" s="69">
        <f t="shared" si="22"/>
        <v>0.32999999999999985</v>
      </c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</row>
    <row r="16" spans="1:59" s="41" customFormat="1" x14ac:dyDescent="0.25">
      <c r="A16" s="150"/>
      <c r="B16" s="79" t="s">
        <v>176</v>
      </c>
      <c r="C16" s="44">
        <v>15</v>
      </c>
      <c r="D16" s="44">
        <v>23.5</v>
      </c>
      <c r="E16" s="52">
        <f t="shared" si="26"/>
        <v>0.56666666666666665</v>
      </c>
      <c r="F16" s="44">
        <v>22.5</v>
      </c>
      <c r="G16" s="44">
        <v>31.73</v>
      </c>
      <c r="H16" s="52">
        <f t="shared" si="27"/>
        <v>0.41022222222222227</v>
      </c>
      <c r="I16" s="75"/>
      <c r="J16" s="60" t="s">
        <v>105</v>
      </c>
      <c r="K16" s="110">
        <v>21.5</v>
      </c>
      <c r="L16" s="111">
        <f>(K16+K16)/(15+17)-1</f>
        <v>0.34375</v>
      </c>
      <c r="M16" s="60">
        <f t="shared" si="28"/>
        <v>21.07</v>
      </c>
      <c r="N16" s="66">
        <f t="shared" si="42"/>
        <v>0.31687500000000002</v>
      </c>
      <c r="O16" s="60">
        <v>24</v>
      </c>
      <c r="P16" s="110">
        <v>32</v>
      </c>
      <c r="Q16" s="111">
        <f t="shared" si="29"/>
        <v>0.33333333333333326</v>
      </c>
      <c r="R16" s="60">
        <f t="shared" si="9"/>
        <v>31.36</v>
      </c>
      <c r="S16" s="66">
        <f t="shared" si="10"/>
        <v>0.30666666666666664</v>
      </c>
      <c r="T16" s="75"/>
      <c r="U16" s="57" t="s">
        <v>113</v>
      </c>
      <c r="V16" s="123">
        <v>23</v>
      </c>
      <c r="W16" s="124">
        <f t="shared" si="36"/>
        <v>0.64285714285714279</v>
      </c>
      <c r="X16" s="57">
        <f t="shared" si="12"/>
        <v>21.85</v>
      </c>
      <c r="Y16" s="68">
        <f t="shared" si="37"/>
        <v>0.56071428571428572</v>
      </c>
      <c r="Z16" s="127" t="s">
        <v>114</v>
      </c>
      <c r="AA16" s="123">
        <v>34.5</v>
      </c>
      <c r="AB16" s="129">
        <f t="shared" si="38"/>
        <v>0.61403508771929816</v>
      </c>
      <c r="AC16" s="57">
        <f t="shared" si="15"/>
        <v>32.774999999999999</v>
      </c>
      <c r="AD16" s="68">
        <f t="shared" si="39"/>
        <v>0.53333333333333321</v>
      </c>
      <c r="AE16" s="75"/>
      <c r="AF16" s="58" t="s">
        <v>141</v>
      </c>
      <c r="AG16" s="58">
        <v>22</v>
      </c>
      <c r="AH16" s="46">
        <f t="shared" si="40"/>
        <v>0.62962962962962954</v>
      </c>
      <c r="AI16" s="58" t="s">
        <v>146</v>
      </c>
      <c r="AJ16" s="58">
        <v>31.5</v>
      </c>
      <c r="AK16" s="46">
        <f t="shared" si="41"/>
        <v>0.55555555555555558</v>
      </c>
      <c r="AL16" s="77"/>
      <c r="AM16" s="59">
        <v>16</v>
      </c>
      <c r="AN16" s="132">
        <f t="shared" si="30"/>
        <v>22.4</v>
      </c>
      <c r="AO16" s="133">
        <f t="shared" si="31"/>
        <v>0.39999999999999991</v>
      </c>
      <c r="AP16" s="59">
        <f t="shared" si="19"/>
        <v>21.279999999999998</v>
      </c>
      <c r="AQ16" s="69">
        <f>AP16/AM16-1</f>
        <v>0.32999999999999985</v>
      </c>
      <c r="AR16" s="59">
        <f t="shared" si="32"/>
        <v>22.4</v>
      </c>
      <c r="AS16" s="132">
        <f t="shared" si="33"/>
        <v>31.359999999999996</v>
      </c>
      <c r="AT16" s="135">
        <f t="shared" si="34"/>
        <v>0.39999999999999991</v>
      </c>
      <c r="AU16" s="59">
        <f t="shared" si="21"/>
        <v>29.791999999999994</v>
      </c>
      <c r="AV16" s="69">
        <f t="shared" si="22"/>
        <v>0.32999999999999985</v>
      </c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</row>
    <row r="17" spans="1:59" s="78" customFormat="1" ht="8.4499999999999993" customHeight="1" x14ac:dyDescent="0.25">
      <c r="A17" s="72"/>
      <c r="B17" s="73"/>
      <c r="C17" s="74"/>
      <c r="D17" s="74"/>
      <c r="E17" s="75"/>
      <c r="F17" s="74"/>
      <c r="G17" s="74"/>
      <c r="H17" s="75"/>
      <c r="I17" s="75"/>
      <c r="J17" s="74"/>
      <c r="K17" s="74"/>
      <c r="L17" s="75"/>
      <c r="M17" s="74"/>
      <c r="N17" s="75"/>
      <c r="O17" s="74"/>
      <c r="P17" s="120"/>
      <c r="Q17" s="75"/>
      <c r="R17" s="74"/>
      <c r="S17" s="75"/>
      <c r="T17" s="75"/>
      <c r="U17" s="76"/>
      <c r="V17" s="76"/>
      <c r="W17" s="77"/>
      <c r="X17" s="76"/>
      <c r="Y17" s="77"/>
      <c r="Z17" s="76"/>
      <c r="AA17" s="76"/>
      <c r="AB17" s="75"/>
      <c r="AC17" s="75"/>
      <c r="AD17" s="75"/>
      <c r="AE17" s="75"/>
      <c r="AF17" s="76"/>
      <c r="AG17" s="76"/>
      <c r="AH17" s="77"/>
      <c r="AI17" s="76"/>
      <c r="AJ17" s="76"/>
      <c r="AK17" s="77"/>
      <c r="AL17" s="77"/>
      <c r="AM17" s="76"/>
      <c r="AN17" s="76"/>
      <c r="AO17" s="77"/>
      <c r="AP17" s="76"/>
      <c r="AQ17" s="77"/>
      <c r="AR17" s="76"/>
      <c r="AS17" s="76"/>
      <c r="AT17" s="75"/>
      <c r="AU17" s="75"/>
      <c r="AV17" s="75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</row>
    <row r="18" spans="1:59" s="41" customFormat="1" x14ac:dyDescent="0.25">
      <c r="A18" s="80" t="s">
        <v>74</v>
      </c>
      <c r="B18" s="87" t="s">
        <v>90</v>
      </c>
      <c r="C18" s="100" t="s">
        <v>190</v>
      </c>
      <c r="D18" s="98" t="s">
        <v>132</v>
      </c>
      <c r="E18" s="99">
        <f>(62+65)/(38+40)-1</f>
        <v>0.62820512820512819</v>
      </c>
      <c r="F18" s="100" t="s">
        <v>159</v>
      </c>
      <c r="G18" s="100" t="s">
        <v>159</v>
      </c>
      <c r="H18" s="100" t="s">
        <v>159</v>
      </c>
      <c r="I18" s="90"/>
      <c r="J18" s="63" t="s">
        <v>162</v>
      </c>
      <c r="K18" s="113" t="s">
        <v>164</v>
      </c>
      <c r="L18" s="136">
        <f>(52+55)/(32+34)-1</f>
        <v>0.6212121212121211</v>
      </c>
      <c r="M18" s="60" t="s">
        <v>181</v>
      </c>
      <c r="N18" s="67">
        <f>(50.96+53.09)/(32+34)-1</f>
        <v>0.57651515151515165</v>
      </c>
      <c r="O18" s="63" t="s">
        <v>159</v>
      </c>
      <c r="P18" s="121" t="s">
        <v>159</v>
      </c>
      <c r="Q18" s="67" t="s">
        <v>159</v>
      </c>
      <c r="R18" s="67" t="s">
        <v>159</v>
      </c>
      <c r="S18" s="67" t="s">
        <v>159</v>
      </c>
      <c r="T18" s="90"/>
      <c r="U18" s="151" t="s">
        <v>91</v>
      </c>
      <c r="V18" s="152"/>
      <c r="W18" s="152"/>
      <c r="X18" s="152"/>
      <c r="Y18" s="152"/>
      <c r="Z18" s="152"/>
      <c r="AA18" s="152"/>
      <c r="AB18" s="152"/>
      <c r="AC18" s="152"/>
      <c r="AD18" s="153"/>
      <c r="AE18" s="95"/>
      <c r="AF18" s="104">
        <v>35.5</v>
      </c>
      <c r="AG18" s="104">
        <v>65</v>
      </c>
      <c r="AH18" s="103">
        <f>AG18/AF18-1</f>
        <v>0.83098591549295775</v>
      </c>
      <c r="AI18" s="104" t="s">
        <v>159</v>
      </c>
      <c r="AJ18" s="40" t="s">
        <v>159</v>
      </c>
      <c r="AK18" s="103" t="s">
        <v>159</v>
      </c>
      <c r="AL18" s="95"/>
      <c r="AM18" s="154" t="s">
        <v>91</v>
      </c>
      <c r="AN18" s="155"/>
      <c r="AO18" s="155"/>
      <c r="AP18" s="155"/>
      <c r="AQ18" s="155"/>
      <c r="AR18" s="155"/>
      <c r="AS18" s="155"/>
      <c r="AT18" s="155"/>
      <c r="AU18" s="155"/>
      <c r="AV18" s="155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</row>
    <row r="19" spans="1:59" s="78" customFormat="1" ht="8.4499999999999993" customHeight="1" x14ac:dyDescent="0.25">
      <c r="A19" s="93"/>
      <c r="B19" s="73"/>
      <c r="C19" s="76"/>
      <c r="D19" s="76"/>
      <c r="E19" s="77"/>
      <c r="F19" s="76"/>
      <c r="G19" s="76"/>
      <c r="H19" s="75"/>
      <c r="I19" s="75"/>
      <c r="J19" s="76"/>
      <c r="K19" s="114"/>
      <c r="L19" s="130"/>
      <c r="M19" s="74"/>
      <c r="N19" s="75"/>
      <c r="O19" s="76"/>
      <c r="P19" s="119"/>
      <c r="Q19" s="75"/>
      <c r="R19" s="74"/>
      <c r="S19" s="75"/>
      <c r="T19" s="75"/>
      <c r="U19" s="76"/>
      <c r="V19" s="76"/>
      <c r="W19" s="77"/>
      <c r="X19" s="76"/>
      <c r="Y19" s="77"/>
      <c r="Z19" s="76"/>
      <c r="AA19" s="76"/>
      <c r="AB19" s="75"/>
      <c r="AC19" s="75"/>
      <c r="AD19" s="75"/>
      <c r="AE19" s="75"/>
      <c r="AF19" s="76"/>
      <c r="AG19" s="76"/>
      <c r="AH19" s="76"/>
      <c r="AI19" s="76"/>
      <c r="AJ19" s="76"/>
      <c r="AK19" s="77"/>
      <c r="AL19" s="77"/>
      <c r="AM19" s="76"/>
      <c r="AN19" s="76"/>
      <c r="AO19" s="77"/>
      <c r="AP19" s="76"/>
      <c r="AQ19" s="77"/>
      <c r="AR19" s="76"/>
      <c r="AS19" s="76"/>
      <c r="AT19" s="75"/>
      <c r="AU19" s="75"/>
      <c r="AV19" s="75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</row>
    <row r="20" spans="1:59" s="41" customFormat="1" x14ac:dyDescent="0.25">
      <c r="A20" s="80" t="s">
        <v>67</v>
      </c>
      <c r="B20" s="87" t="s">
        <v>90</v>
      </c>
      <c r="C20" s="100" t="s">
        <v>191</v>
      </c>
      <c r="D20" s="98" t="s">
        <v>131</v>
      </c>
      <c r="E20" s="99">
        <f>(30+35)/(18.75+21)-1</f>
        <v>0.6352201257861636</v>
      </c>
      <c r="F20" s="100" t="s">
        <v>159</v>
      </c>
      <c r="G20" s="100" t="s">
        <v>159</v>
      </c>
      <c r="H20" s="100" t="s">
        <v>159</v>
      </c>
      <c r="I20" s="90"/>
      <c r="J20" s="63">
        <v>16</v>
      </c>
      <c r="K20" s="113" t="s">
        <v>165</v>
      </c>
      <c r="L20" s="136">
        <f>(23+27)/(16+16)-1</f>
        <v>0.5625</v>
      </c>
      <c r="M20" s="63" t="s">
        <v>182</v>
      </c>
      <c r="N20" s="67">
        <f>(22.54+26.46)/(16+16)-1</f>
        <v>0.53125</v>
      </c>
      <c r="O20" s="63" t="s">
        <v>159</v>
      </c>
      <c r="P20" s="121" t="s">
        <v>159</v>
      </c>
      <c r="Q20" s="67" t="s">
        <v>159</v>
      </c>
      <c r="R20" s="67" t="s">
        <v>159</v>
      </c>
      <c r="S20" s="67" t="s">
        <v>159</v>
      </c>
      <c r="T20" s="90"/>
      <c r="U20" s="151" t="s">
        <v>91</v>
      </c>
      <c r="V20" s="152"/>
      <c r="W20" s="152"/>
      <c r="X20" s="152"/>
      <c r="Y20" s="152"/>
      <c r="Z20" s="152"/>
      <c r="AA20" s="152"/>
      <c r="AB20" s="152"/>
      <c r="AC20" s="152"/>
      <c r="AD20" s="153"/>
      <c r="AE20" s="95"/>
      <c r="AF20" s="104">
        <v>14</v>
      </c>
      <c r="AG20" s="104">
        <v>25</v>
      </c>
      <c r="AH20" s="103">
        <f t="shared" ref="AH20" si="43">AG20/AF20-1</f>
        <v>0.78571428571428581</v>
      </c>
      <c r="AI20" s="104" t="s">
        <v>159</v>
      </c>
      <c r="AJ20" s="40" t="s">
        <v>159</v>
      </c>
      <c r="AK20" s="103" t="s">
        <v>159</v>
      </c>
      <c r="AL20" s="95"/>
      <c r="AM20" s="47" t="s">
        <v>189</v>
      </c>
      <c r="AN20" s="134" t="s">
        <v>161</v>
      </c>
      <c r="AO20" s="137">
        <f>(21+31.9)/(14+21)-1</f>
        <v>0.51142857142857134</v>
      </c>
      <c r="AP20" s="47" t="s">
        <v>188</v>
      </c>
      <c r="AQ20" s="70">
        <f>(19.95+30.31)/(14+21)-1</f>
        <v>0.43599999999999994</v>
      </c>
      <c r="AR20" s="47" t="s">
        <v>159</v>
      </c>
      <c r="AS20" s="47" t="s">
        <v>159</v>
      </c>
      <c r="AT20" s="70" t="s">
        <v>159</v>
      </c>
      <c r="AU20" s="70" t="s">
        <v>159</v>
      </c>
      <c r="AV20" s="70" t="s">
        <v>159</v>
      </c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</row>
    <row r="21" spans="1:59" s="78" customFormat="1" ht="8.4499999999999993" customHeight="1" thickBot="1" x14ac:dyDescent="0.3">
      <c r="A21" s="93"/>
      <c r="B21" s="73"/>
      <c r="C21" s="76"/>
      <c r="D21" s="76"/>
      <c r="E21" s="77"/>
      <c r="F21" s="76"/>
      <c r="G21" s="76"/>
      <c r="H21" s="75"/>
      <c r="I21" s="75"/>
      <c r="J21" s="76"/>
      <c r="K21" s="114"/>
      <c r="L21" s="130"/>
      <c r="M21" s="74"/>
      <c r="N21" s="75"/>
      <c r="O21" s="76"/>
      <c r="P21" s="119"/>
      <c r="Q21" s="75"/>
      <c r="R21" s="74"/>
      <c r="S21" s="75"/>
      <c r="T21" s="75"/>
      <c r="U21" s="76"/>
      <c r="V21" s="76"/>
      <c r="W21" s="77"/>
      <c r="X21" s="76"/>
      <c r="Y21" s="77"/>
      <c r="Z21" s="76"/>
      <c r="AA21" s="76"/>
      <c r="AB21" s="75"/>
      <c r="AC21" s="75"/>
      <c r="AD21" s="75"/>
      <c r="AE21" s="75"/>
      <c r="AF21" s="76"/>
      <c r="AG21" s="76"/>
      <c r="AH21" s="77"/>
      <c r="AI21" s="76"/>
      <c r="AJ21" s="76"/>
      <c r="AK21" s="77"/>
      <c r="AL21" s="77"/>
      <c r="AM21" s="76"/>
      <c r="AN21" s="76"/>
      <c r="AO21" s="77"/>
      <c r="AP21" s="76"/>
      <c r="AQ21" s="77"/>
      <c r="AR21" s="76"/>
      <c r="AS21" s="76"/>
      <c r="AT21" s="75"/>
      <c r="AU21" s="75"/>
      <c r="AV21" s="75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</row>
    <row r="22" spans="1:59" s="48" customFormat="1" ht="15.75" thickBot="1" x14ac:dyDescent="0.3">
      <c r="A22" s="80" t="s">
        <v>82</v>
      </c>
      <c r="B22" s="87" t="s">
        <v>90</v>
      </c>
      <c r="C22" s="145" t="s">
        <v>91</v>
      </c>
      <c r="D22" s="146"/>
      <c r="E22" s="146"/>
      <c r="F22" s="146"/>
      <c r="G22" s="146"/>
      <c r="H22" s="147"/>
      <c r="I22" s="91"/>
      <c r="J22" s="63">
        <v>34</v>
      </c>
      <c r="K22" s="116" t="s">
        <v>86</v>
      </c>
      <c r="L22" s="136">
        <f>53/34-1</f>
        <v>0.55882352941176472</v>
      </c>
      <c r="M22" s="60">
        <f>53-(53*0.02)</f>
        <v>51.94</v>
      </c>
      <c r="N22" s="67">
        <f>M22/J22-1</f>
        <v>0.52764705882352936</v>
      </c>
      <c r="O22" s="63">
        <v>51</v>
      </c>
      <c r="P22" s="122" t="s">
        <v>87</v>
      </c>
      <c r="Q22" s="136">
        <f>79.5/51-1</f>
        <v>0.55882352941176472</v>
      </c>
      <c r="R22" s="60">
        <f>79.5-(79.5*0.02)</f>
        <v>77.91</v>
      </c>
      <c r="S22" s="67">
        <f>R22/O22-1</f>
        <v>0.52764705882352936</v>
      </c>
      <c r="T22" s="90"/>
      <c r="U22" s="151" t="s">
        <v>91</v>
      </c>
      <c r="V22" s="152"/>
      <c r="W22" s="152"/>
      <c r="X22" s="152"/>
      <c r="Y22" s="152"/>
      <c r="Z22" s="152"/>
      <c r="AA22" s="152"/>
      <c r="AB22" s="152"/>
      <c r="AC22" s="152"/>
      <c r="AD22" s="153"/>
      <c r="AE22" s="95"/>
      <c r="AF22" s="62" t="s">
        <v>167</v>
      </c>
      <c r="AG22" s="104">
        <v>53</v>
      </c>
      <c r="AH22" s="103">
        <f>(AG22+AG22)/(30+33)-1</f>
        <v>0.68253968253968256</v>
      </c>
      <c r="AI22" s="107" t="s">
        <v>168</v>
      </c>
      <c r="AJ22" s="40">
        <v>53</v>
      </c>
      <c r="AK22" s="103">
        <f>(AJ22+AJ22)/(30+33)-1</f>
        <v>0.68253968253968256</v>
      </c>
      <c r="AL22" s="95"/>
      <c r="AM22" s="154" t="s">
        <v>91</v>
      </c>
      <c r="AN22" s="155"/>
      <c r="AO22" s="155"/>
      <c r="AP22" s="155"/>
      <c r="AQ22" s="155"/>
      <c r="AR22" s="155"/>
      <c r="AS22" s="155"/>
      <c r="AT22" s="155"/>
      <c r="AU22" s="155"/>
      <c r="AV22" s="155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</row>
    <row r="23" spans="1:59" s="49" customFormat="1" x14ac:dyDescent="0.25">
      <c r="A23" s="80" t="s">
        <v>83</v>
      </c>
      <c r="B23" s="87" t="s">
        <v>90</v>
      </c>
      <c r="C23" s="145" t="s">
        <v>91</v>
      </c>
      <c r="D23" s="146"/>
      <c r="E23" s="146"/>
      <c r="F23" s="146"/>
      <c r="G23" s="146"/>
      <c r="H23" s="147"/>
      <c r="I23" s="91"/>
      <c r="J23" s="63">
        <v>37</v>
      </c>
      <c r="K23" s="116" t="s">
        <v>88</v>
      </c>
      <c r="L23" s="136">
        <f t="shared" ref="L23:L25" si="44">53/34-1</f>
        <v>0.55882352941176472</v>
      </c>
      <c r="M23" s="60">
        <f>58-(58*0.02)</f>
        <v>56.84</v>
      </c>
      <c r="N23" s="67">
        <f t="shared" ref="N23:N25" si="45">M23/J23-1</f>
        <v>0.53621621621621629</v>
      </c>
      <c r="O23" s="63">
        <v>55.5</v>
      </c>
      <c r="P23" s="122">
        <v>87</v>
      </c>
      <c r="Q23" s="136">
        <f t="shared" ref="Q23:Q25" si="46">79.5/51-1</f>
        <v>0.55882352941176472</v>
      </c>
      <c r="R23" s="63">
        <f>P23-(P23*0.02)</f>
        <v>85.26</v>
      </c>
      <c r="S23" s="67">
        <f t="shared" ref="S23:S25" si="47">R23/O23-1</f>
        <v>0.53621621621621629</v>
      </c>
      <c r="T23" s="90"/>
      <c r="U23" s="151" t="s">
        <v>91</v>
      </c>
      <c r="V23" s="152"/>
      <c r="W23" s="152"/>
      <c r="X23" s="152"/>
      <c r="Y23" s="152"/>
      <c r="Z23" s="152"/>
      <c r="AA23" s="152"/>
      <c r="AB23" s="152"/>
      <c r="AC23" s="152"/>
      <c r="AD23" s="153"/>
      <c r="AE23" s="95"/>
      <c r="AF23" s="107" t="s">
        <v>169</v>
      </c>
      <c r="AG23" s="61">
        <v>75</v>
      </c>
      <c r="AH23" s="103">
        <f>(AG23+AG23)/(40+44)-1</f>
        <v>0.78571428571428581</v>
      </c>
      <c r="AI23" s="107" t="s">
        <v>170</v>
      </c>
      <c r="AJ23" s="108">
        <v>112.5</v>
      </c>
      <c r="AK23" s="103">
        <f>(AJ23+AJ23)/(60+66)-1</f>
        <v>0.78571428571428581</v>
      </c>
      <c r="AL23" s="95"/>
      <c r="AM23" s="154" t="s">
        <v>91</v>
      </c>
      <c r="AN23" s="155"/>
      <c r="AO23" s="155"/>
      <c r="AP23" s="155"/>
      <c r="AQ23" s="155"/>
      <c r="AR23" s="155"/>
      <c r="AS23" s="155"/>
      <c r="AT23" s="155"/>
      <c r="AU23" s="155"/>
      <c r="AV23" s="155"/>
    </row>
    <row r="24" spans="1:59" s="49" customFormat="1" x14ac:dyDescent="0.25">
      <c r="A24" s="80" t="s">
        <v>84</v>
      </c>
      <c r="B24" s="87" t="s">
        <v>90</v>
      </c>
      <c r="C24" s="145" t="s">
        <v>91</v>
      </c>
      <c r="D24" s="146"/>
      <c r="E24" s="146"/>
      <c r="F24" s="146"/>
      <c r="G24" s="146"/>
      <c r="H24" s="147"/>
      <c r="I24" s="91"/>
      <c r="J24" s="63">
        <v>47</v>
      </c>
      <c r="K24" s="116" t="s">
        <v>89</v>
      </c>
      <c r="L24" s="136">
        <f t="shared" si="44"/>
        <v>0.55882352941176472</v>
      </c>
      <c r="M24" s="60">
        <f>74-(74*0.02)</f>
        <v>72.52</v>
      </c>
      <c r="N24" s="67">
        <f t="shared" si="45"/>
        <v>0.54297872340425513</v>
      </c>
      <c r="O24" s="63">
        <v>70.5</v>
      </c>
      <c r="P24" s="122">
        <v>111</v>
      </c>
      <c r="Q24" s="136">
        <f t="shared" si="46"/>
        <v>0.55882352941176472</v>
      </c>
      <c r="R24" s="63">
        <f t="shared" ref="R24:R25" si="48">P24-(P24*0.02)</f>
        <v>108.78</v>
      </c>
      <c r="S24" s="67">
        <f t="shared" si="47"/>
        <v>0.54297872340425535</v>
      </c>
      <c r="T24" s="90"/>
      <c r="U24" s="151" t="s">
        <v>91</v>
      </c>
      <c r="V24" s="152"/>
      <c r="W24" s="152"/>
      <c r="X24" s="152"/>
      <c r="Y24" s="152"/>
      <c r="Z24" s="152"/>
      <c r="AA24" s="152"/>
      <c r="AB24" s="152"/>
      <c r="AC24" s="152"/>
      <c r="AD24" s="153"/>
      <c r="AE24" s="95"/>
      <c r="AF24" s="107" t="s">
        <v>171</v>
      </c>
      <c r="AG24" s="61">
        <v>81</v>
      </c>
      <c r="AH24" s="103">
        <f>(AG24+AG24)/(45+48)-1</f>
        <v>0.74193548387096775</v>
      </c>
      <c r="AI24" s="107" t="s">
        <v>172</v>
      </c>
      <c r="AJ24" s="108">
        <v>121.5</v>
      </c>
      <c r="AK24" s="103">
        <f>(AJ24+AJ24)/(67.5+72)-1</f>
        <v>0.74193548387096775</v>
      </c>
      <c r="AL24" s="95"/>
      <c r="AM24" s="154" t="s">
        <v>91</v>
      </c>
      <c r="AN24" s="155"/>
      <c r="AO24" s="155"/>
      <c r="AP24" s="155"/>
      <c r="AQ24" s="155"/>
      <c r="AR24" s="155"/>
      <c r="AS24" s="155"/>
      <c r="AT24" s="155"/>
      <c r="AU24" s="155"/>
      <c r="AV24" s="155"/>
    </row>
    <row r="25" spans="1:59" s="49" customFormat="1" x14ac:dyDescent="0.25">
      <c r="A25" s="80" t="s">
        <v>85</v>
      </c>
      <c r="B25" s="87" t="s">
        <v>90</v>
      </c>
      <c r="C25" s="145" t="s">
        <v>91</v>
      </c>
      <c r="D25" s="146"/>
      <c r="E25" s="146"/>
      <c r="F25" s="146"/>
      <c r="G25" s="146"/>
      <c r="H25" s="147"/>
      <c r="I25" s="91"/>
      <c r="J25" s="63">
        <v>57</v>
      </c>
      <c r="K25" s="116">
        <v>89</v>
      </c>
      <c r="L25" s="136">
        <f t="shared" si="44"/>
        <v>0.55882352941176472</v>
      </c>
      <c r="M25" s="60">
        <f t="shared" ref="M25" si="49">K25-(K25*0.02)</f>
        <v>87.22</v>
      </c>
      <c r="N25" s="67">
        <f t="shared" si="45"/>
        <v>0.53017543859649119</v>
      </c>
      <c r="O25" s="63">
        <v>85.5</v>
      </c>
      <c r="P25" s="122">
        <v>133.5</v>
      </c>
      <c r="Q25" s="136">
        <f t="shared" si="46"/>
        <v>0.55882352941176472</v>
      </c>
      <c r="R25" s="63">
        <f t="shared" si="48"/>
        <v>130.83000000000001</v>
      </c>
      <c r="S25" s="67">
        <f t="shared" si="47"/>
        <v>0.53017543859649141</v>
      </c>
      <c r="T25" s="90"/>
      <c r="U25" s="151" t="s">
        <v>91</v>
      </c>
      <c r="V25" s="152"/>
      <c r="W25" s="152"/>
      <c r="X25" s="152"/>
      <c r="Y25" s="152"/>
      <c r="Z25" s="152"/>
      <c r="AA25" s="152"/>
      <c r="AB25" s="152"/>
      <c r="AC25" s="152"/>
      <c r="AD25" s="153"/>
      <c r="AE25" s="95"/>
      <c r="AF25" s="107" t="s">
        <v>173</v>
      </c>
      <c r="AG25" s="61">
        <v>87</v>
      </c>
      <c r="AH25" s="103">
        <f>(AG25+AG25)/(49+52)-1</f>
        <v>0.72277227722772275</v>
      </c>
      <c r="AI25" s="107" t="s">
        <v>174</v>
      </c>
      <c r="AJ25" s="108">
        <v>130.5</v>
      </c>
      <c r="AK25" s="103">
        <f>(AJ25+AJ25)/(73.5+78)-1</f>
        <v>0.72277227722772275</v>
      </c>
      <c r="AL25" s="95"/>
      <c r="AM25" s="154" t="s">
        <v>91</v>
      </c>
      <c r="AN25" s="155"/>
      <c r="AO25" s="155"/>
      <c r="AP25" s="155"/>
      <c r="AQ25" s="155"/>
      <c r="AR25" s="155"/>
      <c r="AS25" s="155"/>
      <c r="AT25" s="155"/>
      <c r="AU25" s="155"/>
      <c r="AV25" s="155"/>
    </row>
    <row r="26" spans="1:59" s="78" customFormat="1" ht="8.4499999999999993" customHeight="1" x14ac:dyDescent="0.25">
      <c r="A26" s="93"/>
      <c r="B26" s="73"/>
      <c r="C26" s="76"/>
      <c r="D26" s="76"/>
      <c r="E26" s="77"/>
      <c r="F26" s="76"/>
      <c r="G26" s="76"/>
      <c r="H26" s="75"/>
      <c r="I26" s="75"/>
      <c r="J26" s="76"/>
      <c r="K26" s="114"/>
      <c r="L26" s="130"/>
      <c r="M26" s="74"/>
      <c r="N26" s="75"/>
      <c r="O26" s="76"/>
      <c r="P26" s="119"/>
      <c r="Q26" s="75"/>
      <c r="R26" s="74"/>
      <c r="S26" s="75"/>
      <c r="T26" s="75"/>
      <c r="U26" s="76"/>
      <c r="V26" s="76"/>
      <c r="W26" s="77"/>
      <c r="X26" s="76"/>
      <c r="Y26" s="77"/>
      <c r="Z26" s="76"/>
      <c r="AA26" s="76"/>
      <c r="AB26" s="75"/>
      <c r="AC26" s="75"/>
      <c r="AD26" s="75"/>
      <c r="AE26" s="75"/>
      <c r="AF26" s="105"/>
      <c r="AG26" s="105"/>
      <c r="AH26" s="106"/>
      <c r="AI26" s="105"/>
      <c r="AJ26" s="105"/>
      <c r="AK26" s="106"/>
      <c r="AL26" s="77"/>
      <c r="AM26" s="76"/>
      <c r="AN26" s="76"/>
      <c r="AO26" s="77"/>
      <c r="AP26" s="76"/>
      <c r="AQ26" s="77"/>
      <c r="AR26" s="76"/>
      <c r="AS26" s="76"/>
      <c r="AT26" s="75"/>
      <c r="AU26" s="75"/>
      <c r="AV26" s="75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</row>
    <row r="27" spans="1:59" s="41" customFormat="1" x14ac:dyDescent="0.25">
      <c r="A27" s="82" t="s">
        <v>68</v>
      </c>
      <c r="B27" s="87" t="s">
        <v>90</v>
      </c>
      <c r="C27" s="97"/>
      <c r="D27" s="100" t="s">
        <v>132</v>
      </c>
      <c r="E27" s="99"/>
      <c r="F27" s="100" t="s">
        <v>159</v>
      </c>
      <c r="G27" s="100" t="s">
        <v>159</v>
      </c>
      <c r="H27" s="100" t="s">
        <v>159</v>
      </c>
      <c r="I27" s="90"/>
      <c r="J27" s="63" t="s">
        <v>163</v>
      </c>
      <c r="K27" s="113" t="s">
        <v>166</v>
      </c>
      <c r="L27" s="136">
        <f>(58+65)/(36+40)-1</f>
        <v>0.61842105263157898</v>
      </c>
      <c r="M27" s="63" t="s">
        <v>183</v>
      </c>
      <c r="N27" s="67">
        <f>(56.84+63.7)/(36+40)-1</f>
        <v>0.58605263157894738</v>
      </c>
      <c r="O27" s="63" t="s">
        <v>159</v>
      </c>
      <c r="P27" s="121" t="s">
        <v>159</v>
      </c>
      <c r="Q27" s="67" t="s">
        <v>159</v>
      </c>
      <c r="R27" s="67" t="s">
        <v>159</v>
      </c>
      <c r="S27" s="67" t="s">
        <v>159</v>
      </c>
      <c r="T27" s="90"/>
      <c r="U27" s="151" t="s">
        <v>91</v>
      </c>
      <c r="V27" s="152"/>
      <c r="W27" s="152"/>
      <c r="X27" s="152"/>
      <c r="Y27" s="152"/>
      <c r="Z27" s="152"/>
      <c r="AA27" s="152"/>
      <c r="AB27" s="152"/>
      <c r="AC27" s="152"/>
      <c r="AD27" s="153"/>
      <c r="AE27" s="95"/>
      <c r="AF27" s="104">
        <v>41.5</v>
      </c>
      <c r="AG27" s="104">
        <v>74</v>
      </c>
      <c r="AH27" s="103">
        <f t="shared" ref="AH27" si="50">AG27/AF27-1</f>
        <v>0.7831325301204819</v>
      </c>
      <c r="AI27" s="104" t="s">
        <v>159</v>
      </c>
      <c r="AJ27" s="40" t="s">
        <v>159</v>
      </c>
      <c r="AK27" s="103" t="s">
        <v>159</v>
      </c>
      <c r="AL27" s="95"/>
      <c r="AM27" s="154" t="s">
        <v>91</v>
      </c>
      <c r="AN27" s="155"/>
      <c r="AO27" s="155"/>
      <c r="AP27" s="155"/>
      <c r="AQ27" s="155"/>
      <c r="AR27" s="155"/>
      <c r="AS27" s="155"/>
      <c r="AT27" s="155"/>
      <c r="AU27" s="155"/>
      <c r="AV27" s="155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</row>
    <row r="28" spans="1:59" s="78" customFormat="1" ht="8.4499999999999993" customHeight="1" x14ac:dyDescent="0.25">
      <c r="A28" s="93"/>
      <c r="B28" s="73"/>
      <c r="C28" s="76"/>
      <c r="D28" s="76"/>
      <c r="E28" s="77"/>
      <c r="F28" s="76"/>
      <c r="G28" s="76"/>
      <c r="H28" s="75"/>
      <c r="I28" s="75"/>
      <c r="J28" s="76"/>
      <c r="K28" s="114"/>
      <c r="L28" s="130"/>
      <c r="M28" s="74"/>
      <c r="N28" s="75"/>
      <c r="O28" s="76"/>
      <c r="P28" s="119"/>
      <c r="Q28" s="75"/>
      <c r="R28" s="74"/>
      <c r="S28" s="75"/>
      <c r="T28" s="75"/>
      <c r="U28" s="76"/>
      <c r="V28" s="76"/>
      <c r="W28" s="77"/>
      <c r="X28" s="76"/>
      <c r="Y28" s="77"/>
      <c r="Z28" s="76"/>
      <c r="AA28" s="76"/>
      <c r="AB28" s="75"/>
      <c r="AC28" s="75"/>
      <c r="AD28" s="75"/>
      <c r="AE28" s="75"/>
      <c r="AF28" s="76"/>
      <c r="AG28" s="76"/>
      <c r="AH28" s="77"/>
      <c r="AI28" s="76"/>
      <c r="AJ28" s="76"/>
      <c r="AK28" s="77"/>
      <c r="AL28" s="77"/>
      <c r="AM28" s="76"/>
      <c r="AN28" s="76"/>
      <c r="AO28" s="77"/>
      <c r="AP28" s="76"/>
      <c r="AQ28" s="77"/>
      <c r="AR28" s="76"/>
      <c r="AS28" s="76"/>
      <c r="AT28" s="75"/>
      <c r="AU28" s="75"/>
      <c r="AV28" s="75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</row>
    <row r="29" spans="1:59" s="33" customFormat="1" x14ac:dyDescent="0.25">
      <c r="A29" s="80" t="s">
        <v>73</v>
      </c>
      <c r="B29" s="87" t="s">
        <v>90</v>
      </c>
      <c r="C29" s="100">
        <v>60</v>
      </c>
      <c r="D29" s="109">
        <v>95</v>
      </c>
      <c r="E29" s="53">
        <f>D29/C29-1</f>
        <v>0.58333333333333326</v>
      </c>
      <c r="F29" s="100" t="s">
        <v>159</v>
      </c>
      <c r="G29" s="100" t="s">
        <v>159</v>
      </c>
      <c r="H29" s="100" t="s">
        <v>159</v>
      </c>
      <c r="I29" s="90"/>
      <c r="J29" s="63" t="s">
        <v>160</v>
      </c>
      <c r="K29" s="117">
        <v>95</v>
      </c>
      <c r="L29" s="111">
        <f>(K29+K29)/(58+62)-1</f>
        <v>0.58333333333333326</v>
      </c>
      <c r="M29" s="60">
        <f>K29 - (K29*0.02)</f>
        <v>93.1</v>
      </c>
      <c r="N29" s="66">
        <f>(M29+M29)/(58+62)-1</f>
        <v>0.55166666666666653</v>
      </c>
      <c r="O29" s="63" t="s">
        <v>159</v>
      </c>
      <c r="P29" s="121" t="s">
        <v>159</v>
      </c>
      <c r="Q29" s="67" t="s">
        <v>159</v>
      </c>
      <c r="R29" s="67" t="s">
        <v>159</v>
      </c>
      <c r="S29" s="67" t="s">
        <v>159</v>
      </c>
      <c r="T29" s="90"/>
      <c r="U29" s="151" t="s">
        <v>91</v>
      </c>
      <c r="V29" s="152"/>
      <c r="W29" s="152"/>
      <c r="X29" s="152"/>
      <c r="Y29" s="152"/>
      <c r="Z29" s="152"/>
      <c r="AA29" s="152"/>
      <c r="AB29" s="152"/>
      <c r="AC29" s="152"/>
      <c r="AD29" s="153"/>
      <c r="AE29" s="95"/>
      <c r="AF29" s="165" t="s">
        <v>92</v>
      </c>
      <c r="AG29" s="166"/>
      <c r="AH29" s="166"/>
      <c r="AI29" s="166"/>
      <c r="AJ29" s="166"/>
      <c r="AK29" s="167"/>
      <c r="AL29" s="95"/>
      <c r="AM29" s="154" t="s">
        <v>91</v>
      </c>
      <c r="AN29" s="155"/>
      <c r="AO29" s="155"/>
      <c r="AP29" s="155"/>
      <c r="AQ29" s="155"/>
      <c r="AR29" s="155"/>
      <c r="AS29" s="155"/>
      <c r="AT29" s="155"/>
      <c r="AU29" s="155"/>
      <c r="AV29" s="155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</row>
    <row r="30" spans="1:59" s="78" customFormat="1" ht="8.4499999999999993" customHeight="1" x14ac:dyDescent="0.25">
      <c r="A30" s="93"/>
      <c r="B30" s="73"/>
      <c r="C30" s="76"/>
      <c r="D30" s="76"/>
      <c r="E30" s="77"/>
      <c r="F30" s="76"/>
      <c r="G30" s="76"/>
      <c r="H30" s="75"/>
      <c r="I30" s="75"/>
      <c r="J30" s="76"/>
      <c r="K30" s="114"/>
      <c r="L30" s="130"/>
      <c r="M30" s="74"/>
      <c r="N30" s="75"/>
      <c r="O30" s="76"/>
      <c r="P30" s="119"/>
      <c r="Q30" s="75"/>
      <c r="R30" s="74"/>
      <c r="S30" s="75"/>
      <c r="T30" s="75"/>
      <c r="U30" s="76"/>
      <c r="V30" s="76"/>
      <c r="W30" s="77"/>
      <c r="X30" s="76"/>
      <c r="Y30" s="77"/>
      <c r="Z30" s="76"/>
      <c r="AA30" s="76"/>
      <c r="AB30" s="75"/>
      <c r="AC30" s="75"/>
      <c r="AD30" s="75"/>
      <c r="AE30" s="75"/>
      <c r="AF30" s="76"/>
      <c r="AG30" s="76"/>
      <c r="AH30" s="77"/>
      <c r="AI30" s="76"/>
      <c r="AJ30" s="76"/>
      <c r="AK30" s="77"/>
      <c r="AL30" s="77"/>
      <c r="AM30" s="76"/>
      <c r="AN30" s="76"/>
      <c r="AO30" s="77"/>
      <c r="AP30" s="76"/>
      <c r="AQ30" s="77"/>
      <c r="AR30" s="76"/>
      <c r="AS30" s="76"/>
      <c r="AT30" s="75"/>
      <c r="AU30" s="75"/>
      <c r="AV30" s="75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</row>
    <row r="31" spans="1:59" s="41" customFormat="1" x14ac:dyDescent="0.25">
      <c r="A31" s="142" t="s">
        <v>155</v>
      </c>
      <c r="B31" s="79" t="s">
        <v>119</v>
      </c>
      <c r="C31" s="44">
        <v>26</v>
      </c>
      <c r="D31" s="44">
        <v>40.5</v>
      </c>
      <c r="E31" s="52">
        <f t="shared" ref="E31:E36" si="51">(D31/C31)-1</f>
        <v>0.55769230769230771</v>
      </c>
      <c r="F31" s="44">
        <v>39</v>
      </c>
      <c r="G31" s="44">
        <v>54.68</v>
      </c>
      <c r="H31" s="52">
        <f t="shared" ref="H31:H36" si="52">G31/F31-1</f>
        <v>0.40205128205128204</v>
      </c>
      <c r="I31" s="75"/>
      <c r="J31" s="60" t="s">
        <v>99</v>
      </c>
      <c r="K31" s="118">
        <v>37</v>
      </c>
      <c r="L31" s="111">
        <f>(K31+K31)/(25+28)-1</f>
        <v>0.39622641509433953</v>
      </c>
      <c r="M31" s="60">
        <f>K31 - (K31*0.02)</f>
        <v>36.26</v>
      </c>
      <c r="N31" s="66">
        <f>(M31+M31)/(25+28)-1</f>
        <v>0.36830188679245279</v>
      </c>
      <c r="O31" s="60">
        <v>42</v>
      </c>
      <c r="P31" s="110">
        <v>54.75</v>
      </c>
      <c r="Q31" s="111">
        <f t="shared" ref="Q31:Q36" si="53">P31/O31-1</f>
        <v>0.3035714285714286</v>
      </c>
      <c r="R31" s="60">
        <f>P31-(P31*0.02)</f>
        <v>53.655000000000001</v>
      </c>
      <c r="S31" s="66">
        <f t="shared" ref="S31:S52" si="54">R31/O31-1</f>
        <v>0.27750000000000008</v>
      </c>
      <c r="T31" s="75"/>
      <c r="U31" s="57" t="s">
        <v>111</v>
      </c>
      <c r="V31" s="123">
        <v>43</v>
      </c>
      <c r="W31" s="124">
        <f>(V31+V31)/(26+29)-1</f>
        <v>0.56363636363636371</v>
      </c>
      <c r="X31" s="57">
        <f t="shared" ref="X31:X36" si="55">V31-(V31*0.05)</f>
        <v>40.85</v>
      </c>
      <c r="Y31" s="68">
        <f>(X31+X31)/(26+29)-1</f>
        <v>0.48545454545454558</v>
      </c>
      <c r="Z31" s="127" t="s">
        <v>112</v>
      </c>
      <c r="AA31" s="123">
        <v>64.5</v>
      </c>
      <c r="AB31" s="129">
        <f>(AA31+AA31)/(39+43.5)-1</f>
        <v>0.56363636363636371</v>
      </c>
      <c r="AC31" s="57">
        <f t="shared" ref="AC31:AC52" si="56">AA31-(AA31*0.05)</f>
        <v>61.274999999999999</v>
      </c>
      <c r="AD31" s="68">
        <f>(AC31+AC31)/(39+43.5)-1</f>
        <v>0.48545454545454536</v>
      </c>
      <c r="AE31" s="75"/>
      <c r="AF31" s="58" t="s">
        <v>140</v>
      </c>
      <c r="AG31" s="58">
        <v>42</v>
      </c>
      <c r="AH31" s="46">
        <f>(AG31+AG31)/(25+29)-1</f>
        <v>0.55555555555555558</v>
      </c>
      <c r="AI31" s="58" t="s">
        <v>147</v>
      </c>
      <c r="AJ31" s="58">
        <v>60</v>
      </c>
      <c r="AK31" s="46">
        <f>(AJ31+AJ31)/(37.5+43.5)-1</f>
        <v>0.4814814814814814</v>
      </c>
      <c r="AL31" s="77"/>
      <c r="AM31" s="59">
        <v>28</v>
      </c>
      <c r="AN31" s="132">
        <f t="shared" ref="AN31:AN36" si="57">SUM(AM31*1.45)</f>
        <v>40.6</v>
      </c>
      <c r="AO31" s="133">
        <f t="shared" ref="AO31:AO36" si="58">AN31/AM31-1</f>
        <v>0.44999999999999996</v>
      </c>
      <c r="AP31" s="59">
        <f t="shared" ref="AP31:AP52" si="59">AN31-(AN31*0.05)</f>
        <v>38.57</v>
      </c>
      <c r="AQ31" s="69">
        <f t="shared" ref="AQ31:AQ52" si="60">AP31/AM31-1</f>
        <v>0.37749999999999995</v>
      </c>
      <c r="AR31" s="59">
        <f t="shared" ref="AR31:AR36" si="61">SUM(AN31)</f>
        <v>40.6</v>
      </c>
      <c r="AS31" s="132">
        <f t="shared" ref="AS31:AS36" si="62">SUM(AR31*1.45)</f>
        <v>58.87</v>
      </c>
      <c r="AT31" s="135">
        <f t="shared" ref="AT31:AT36" si="63">AS31/AR31-1</f>
        <v>0.44999999999999996</v>
      </c>
      <c r="AU31" s="59">
        <f t="shared" ref="AU31:AU52" si="64">AS31-(AS31*0.05)</f>
        <v>55.926499999999997</v>
      </c>
      <c r="AV31" s="69">
        <f t="shared" ref="AV31:AV52" si="65">AU31/AR31-1</f>
        <v>0.37749999999999995</v>
      </c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</row>
    <row r="32" spans="1:59" s="41" customFormat="1" x14ac:dyDescent="0.25">
      <c r="A32" s="143"/>
      <c r="B32" s="79" t="s">
        <v>120</v>
      </c>
      <c r="C32" s="44">
        <v>26</v>
      </c>
      <c r="D32" s="44">
        <v>40.5</v>
      </c>
      <c r="E32" s="52">
        <f t="shared" si="51"/>
        <v>0.55769230769230771</v>
      </c>
      <c r="F32" s="44">
        <v>39</v>
      </c>
      <c r="G32" s="44">
        <v>54.68</v>
      </c>
      <c r="H32" s="52">
        <f t="shared" si="52"/>
        <v>0.40205128205128204</v>
      </c>
      <c r="I32" s="75"/>
      <c r="J32" s="60" t="s">
        <v>101</v>
      </c>
      <c r="K32" s="118">
        <v>37.5</v>
      </c>
      <c r="L32" s="111">
        <f>(K32+K32)/(25.5+28.5)-1</f>
        <v>0.38888888888888884</v>
      </c>
      <c r="M32" s="60">
        <f t="shared" ref="M32:M52" si="66">K32 - (K32*0.02)</f>
        <v>36.75</v>
      </c>
      <c r="N32" s="66">
        <f>(M32+M32)/(25.5+28.5)-1</f>
        <v>0.36111111111111116</v>
      </c>
      <c r="O32" s="60">
        <v>42.75</v>
      </c>
      <c r="P32" s="110">
        <v>55.25</v>
      </c>
      <c r="Q32" s="111">
        <f t="shared" si="53"/>
        <v>0.29239766081871355</v>
      </c>
      <c r="R32" s="60">
        <f t="shared" ref="R32:R52" si="67">P32-(P32*0.02)</f>
        <v>54.145000000000003</v>
      </c>
      <c r="S32" s="66">
        <f t="shared" si="54"/>
        <v>0.26654970760233931</v>
      </c>
      <c r="T32" s="75"/>
      <c r="U32" s="57" t="s">
        <v>111</v>
      </c>
      <c r="V32" s="123">
        <v>43</v>
      </c>
      <c r="W32" s="124">
        <f t="shared" ref="W32:W36" si="68">(V32+V32)/(26+29)-1</f>
        <v>0.56363636363636371</v>
      </c>
      <c r="X32" s="57">
        <f t="shared" si="55"/>
        <v>40.85</v>
      </c>
      <c r="Y32" s="68">
        <f t="shared" ref="Y32:Y36" si="69">(X32+X32)/(26+29)-1</f>
        <v>0.48545454545454558</v>
      </c>
      <c r="Z32" s="127" t="s">
        <v>112</v>
      </c>
      <c r="AA32" s="123">
        <v>64.5</v>
      </c>
      <c r="AB32" s="129">
        <f t="shared" ref="AB32:AB36" si="70">(AA32+AA32)/(39+43.5)-1</f>
        <v>0.56363636363636371</v>
      </c>
      <c r="AC32" s="57">
        <f t="shared" si="56"/>
        <v>61.274999999999999</v>
      </c>
      <c r="AD32" s="68">
        <f t="shared" ref="AD32:AD36" si="71">(AC32+AC32)/(39+43.5)-1</f>
        <v>0.48545454545454536</v>
      </c>
      <c r="AE32" s="75"/>
      <c r="AF32" s="58" t="s">
        <v>140</v>
      </c>
      <c r="AG32" s="58">
        <v>42</v>
      </c>
      <c r="AH32" s="46">
        <f t="shared" ref="AH32:AH36" si="72">(AG32+AG32)/(25+29)-1</f>
        <v>0.55555555555555558</v>
      </c>
      <c r="AI32" s="58" t="s">
        <v>147</v>
      </c>
      <c r="AJ32" s="58">
        <v>60</v>
      </c>
      <c r="AK32" s="46">
        <f t="shared" ref="AK32:AK36" si="73">(AJ32+AJ32)/(37.5+43.5)-1</f>
        <v>0.4814814814814814</v>
      </c>
      <c r="AL32" s="77"/>
      <c r="AM32" s="59">
        <v>29</v>
      </c>
      <c r="AN32" s="132">
        <f t="shared" si="57"/>
        <v>42.05</v>
      </c>
      <c r="AO32" s="133">
        <f t="shared" si="58"/>
        <v>0.44999999999999996</v>
      </c>
      <c r="AP32" s="59">
        <f t="shared" si="59"/>
        <v>39.947499999999998</v>
      </c>
      <c r="AQ32" s="69">
        <f t="shared" si="60"/>
        <v>0.37749999999999995</v>
      </c>
      <c r="AR32" s="59">
        <f t="shared" si="61"/>
        <v>42.05</v>
      </c>
      <c r="AS32" s="132">
        <f t="shared" si="62"/>
        <v>60.972499999999997</v>
      </c>
      <c r="AT32" s="135">
        <f t="shared" si="63"/>
        <v>0.44999999999999996</v>
      </c>
      <c r="AU32" s="59">
        <f t="shared" si="64"/>
        <v>57.923874999999995</v>
      </c>
      <c r="AV32" s="69">
        <f t="shared" si="65"/>
        <v>0.37749999999999995</v>
      </c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</row>
    <row r="33" spans="1:59" s="41" customFormat="1" x14ac:dyDescent="0.25">
      <c r="A33" s="143"/>
      <c r="B33" s="79" t="s">
        <v>175</v>
      </c>
      <c r="C33" s="44">
        <v>26</v>
      </c>
      <c r="D33" s="44">
        <v>40.5</v>
      </c>
      <c r="E33" s="52">
        <f t="shared" si="51"/>
        <v>0.55769230769230771</v>
      </c>
      <c r="F33" s="44">
        <v>39</v>
      </c>
      <c r="G33" s="44">
        <v>54.68</v>
      </c>
      <c r="H33" s="52">
        <f t="shared" si="52"/>
        <v>0.40205128205128204</v>
      </c>
      <c r="I33" s="75"/>
      <c r="J33" s="60" t="s">
        <v>100</v>
      </c>
      <c r="K33" s="118">
        <v>37.75</v>
      </c>
      <c r="L33" s="111">
        <f>(K33+K33)/(26+29)-1</f>
        <v>0.3727272727272728</v>
      </c>
      <c r="M33" s="60">
        <f t="shared" si="66"/>
        <v>36.994999999999997</v>
      </c>
      <c r="N33" s="66">
        <f>(M33+M33)/(26+29)-1</f>
        <v>0.34527272727272718</v>
      </c>
      <c r="O33" s="60">
        <v>43.25</v>
      </c>
      <c r="P33" s="110">
        <v>56.75</v>
      </c>
      <c r="Q33" s="111">
        <f t="shared" si="53"/>
        <v>0.31213872832369938</v>
      </c>
      <c r="R33" s="60">
        <f t="shared" si="67"/>
        <v>55.615000000000002</v>
      </c>
      <c r="S33" s="66">
        <f t="shared" si="54"/>
        <v>0.28589595375722543</v>
      </c>
      <c r="T33" s="75"/>
      <c r="U33" s="57" t="s">
        <v>111</v>
      </c>
      <c r="V33" s="123">
        <v>43</v>
      </c>
      <c r="W33" s="124">
        <f t="shared" si="68"/>
        <v>0.56363636363636371</v>
      </c>
      <c r="X33" s="57">
        <f t="shared" si="55"/>
        <v>40.85</v>
      </c>
      <c r="Y33" s="68">
        <f t="shared" si="69"/>
        <v>0.48545454545454558</v>
      </c>
      <c r="Z33" s="127" t="s">
        <v>112</v>
      </c>
      <c r="AA33" s="123">
        <v>64.5</v>
      </c>
      <c r="AB33" s="129">
        <f t="shared" si="70"/>
        <v>0.56363636363636371</v>
      </c>
      <c r="AC33" s="57">
        <f t="shared" si="56"/>
        <v>61.274999999999999</v>
      </c>
      <c r="AD33" s="68">
        <f t="shared" si="71"/>
        <v>0.48545454545454536</v>
      </c>
      <c r="AE33" s="75"/>
      <c r="AF33" s="58" t="s">
        <v>140</v>
      </c>
      <c r="AG33" s="58">
        <v>42</v>
      </c>
      <c r="AH33" s="46">
        <f t="shared" si="72"/>
        <v>0.55555555555555558</v>
      </c>
      <c r="AI33" s="58" t="s">
        <v>147</v>
      </c>
      <c r="AJ33" s="58">
        <v>60</v>
      </c>
      <c r="AK33" s="46">
        <f t="shared" si="73"/>
        <v>0.4814814814814814</v>
      </c>
      <c r="AL33" s="77"/>
      <c r="AM33" s="59">
        <v>30</v>
      </c>
      <c r="AN33" s="132">
        <f t="shared" si="57"/>
        <v>43.5</v>
      </c>
      <c r="AO33" s="133">
        <f t="shared" si="58"/>
        <v>0.44999999999999996</v>
      </c>
      <c r="AP33" s="59">
        <f t="shared" si="59"/>
        <v>41.325000000000003</v>
      </c>
      <c r="AQ33" s="69">
        <f t="shared" si="60"/>
        <v>0.37750000000000017</v>
      </c>
      <c r="AR33" s="59">
        <f t="shared" si="61"/>
        <v>43.5</v>
      </c>
      <c r="AS33" s="132">
        <f t="shared" si="62"/>
        <v>63.074999999999996</v>
      </c>
      <c r="AT33" s="135">
        <f t="shared" si="63"/>
        <v>0.44999999999999996</v>
      </c>
      <c r="AU33" s="59">
        <f t="shared" si="64"/>
        <v>59.921249999999993</v>
      </c>
      <c r="AV33" s="69">
        <f t="shared" si="65"/>
        <v>0.37749999999999995</v>
      </c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</row>
    <row r="34" spans="1:59" s="41" customFormat="1" x14ac:dyDescent="0.25">
      <c r="A34" s="143"/>
      <c r="B34" s="79" t="s">
        <v>121</v>
      </c>
      <c r="C34" s="44">
        <v>28</v>
      </c>
      <c r="D34" s="44">
        <v>42.5</v>
      </c>
      <c r="E34" s="52">
        <f t="shared" si="51"/>
        <v>0.51785714285714279</v>
      </c>
      <c r="F34" s="44">
        <v>42</v>
      </c>
      <c r="G34" s="44">
        <v>57.38</v>
      </c>
      <c r="H34" s="52">
        <f t="shared" si="52"/>
        <v>0.36619047619047618</v>
      </c>
      <c r="I34" s="75"/>
      <c r="J34" s="60" t="s">
        <v>100</v>
      </c>
      <c r="K34" s="118">
        <v>37.75</v>
      </c>
      <c r="L34" s="111">
        <f>(K34+K34)/(26+29)-1</f>
        <v>0.3727272727272728</v>
      </c>
      <c r="M34" s="60">
        <f t="shared" si="66"/>
        <v>36.994999999999997</v>
      </c>
      <c r="N34" s="66">
        <f>(M34+M34)/(26+29)-1</f>
        <v>0.34527272727272718</v>
      </c>
      <c r="O34" s="60">
        <v>43.25</v>
      </c>
      <c r="P34" s="110">
        <v>55.5</v>
      </c>
      <c r="Q34" s="111">
        <f t="shared" si="53"/>
        <v>0.28323699421965309</v>
      </c>
      <c r="R34" s="60">
        <f t="shared" si="67"/>
        <v>54.39</v>
      </c>
      <c r="S34" s="66">
        <f t="shared" si="54"/>
        <v>0.2575722543352601</v>
      </c>
      <c r="T34" s="75"/>
      <c r="U34" s="57" t="s">
        <v>111</v>
      </c>
      <c r="V34" s="123">
        <v>43</v>
      </c>
      <c r="W34" s="124">
        <f t="shared" si="68"/>
        <v>0.56363636363636371</v>
      </c>
      <c r="X34" s="57">
        <f t="shared" si="55"/>
        <v>40.85</v>
      </c>
      <c r="Y34" s="68">
        <f t="shared" si="69"/>
        <v>0.48545454545454558</v>
      </c>
      <c r="Z34" s="127" t="s">
        <v>112</v>
      </c>
      <c r="AA34" s="123">
        <v>64.5</v>
      </c>
      <c r="AB34" s="129">
        <f t="shared" si="70"/>
        <v>0.56363636363636371</v>
      </c>
      <c r="AC34" s="57">
        <f t="shared" si="56"/>
        <v>61.274999999999999</v>
      </c>
      <c r="AD34" s="68">
        <f t="shared" si="71"/>
        <v>0.48545454545454536</v>
      </c>
      <c r="AE34" s="75"/>
      <c r="AF34" s="58" t="s">
        <v>140</v>
      </c>
      <c r="AG34" s="58">
        <v>42</v>
      </c>
      <c r="AH34" s="46">
        <f t="shared" si="72"/>
        <v>0.55555555555555558</v>
      </c>
      <c r="AI34" s="58" t="s">
        <v>147</v>
      </c>
      <c r="AJ34" s="58">
        <v>60</v>
      </c>
      <c r="AK34" s="46">
        <f t="shared" si="73"/>
        <v>0.4814814814814814</v>
      </c>
      <c r="AL34" s="77"/>
      <c r="AM34" s="59">
        <v>29</v>
      </c>
      <c r="AN34" s="132">
        <f t="shared" si="57"/>
        <v>42.05</v>
      </c>
      <c r="AO34" s="133">
        <f t="shared" si="58"/>
        <v>0.44999999999999996</v>
      </c>
      <c r="AP34" s="59">
        <f t="shared" si="59"/>
        <v>39.947499999999998</v>
      </c>
      <c r="AQ34" s="69">
        <f t="shared" si="60"/>
        <v>0.37749999999999995</v>
      </c>
      <c r="AR34" s="59">
        <f t="shared" si="61"/>
        <v>42.05</v>
      </c>
      <c r="AS34" s="132">
        <f t="shared" si="62"/>
        <v>60.972499999999997</v>
      </c>
      <c r="AT34" s="135">
        <f t="shared" si="63"/>
        <v>0.44999999999999996</v>
      </c>
      <c r="AU34" s="59">
        <f t="shared" si="64"/>
        <v>57.923874999999995</v>
      </c>
      <c r="AV34" s="69">
        <f t="shared" si="65"/>
        <v>0.37749999999999995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</row>
    <row r="35" spans="1:59" s="41" customFormat="1" x14ac:dyDescent="0.25">
      <c r="A35" s="143"/>
      <c r="B35" s="79" t="s">
        <v>122</v>
      </c>
      <c r="C35" s="44">
        <v>28</v>
      </c>
      <c r="D35" s="44">
        <v>42.5</v>
      </c>
      <c r="E35" s="52">
        <f t="shared" si="51"/>
        <v>0.51785714285714279</v>
      </c>
      <c r="F35" s="44">
        <v>42</v>
      </c>
      <c r="G35" s="44">
        <v>57.38</v>
      </c>
      <c r="H35" s="52">
        <f t="shared" si="52"/>
        <v>0.36619047619047618</v>
      </c>
      <c r="I35" s="75"/>
      <c r="J35" s="60" t="s">
        <v>102</v>
      </c>
      <c r="K35" s="118">
        <v>38.25</v>
      </c>
      <c r="L35" s="111">
        <f>(K35+K35)/(26.5+29.5)-1</f>
        <v>0.3660714285714286</v>
      </c>
      <c r="M35" s="60">
        <f t="shared" si="66"/>
        <v>37.484999999999999</v>
      </c>
      <c r="N35" s="66">
        <f>(M35+M35)/(26.5+29.5)-1</f>
        <v>0.33874999999999988</v>
      </c>
      <c r="O35" s="60">
        <v>44.25</v>
      </c>
      <c r="P35" s="110">
        <v>57.75</v>
      </c>
      <c r="Q35" s="111">
        <f t="shared" si="53"/>
        <v>0.30508474576271194</v>
      </c>
      <c r="R35" s="60">
        <f t="shared" si="67"/>
        <v>56.594999999999999</v>
      </c>
      <c r="S35" s="66">
        <f t="shared" si="54"/>
        <v>0.27898305084745756</v>
      </c>
      <c r="T35" s="75"/>
      <c r="U35" s="57" t="s">
        <v>111</v>
      </c>
      <c r="V35" s="123">
        <v>43</v>
      </c>
      <c r="W35" s="124">
        <f t="shared" si="68"/>
        <v>0.56363636363636371</v>
      </c>
      <c r="X35" s="57">
        <f t="shared" si="55"/>
        <v>40.85</v>
      </c>
      <c r="Y35" s="68">
        <f t="shared" si="69"/>
        <v>0.48545454545454558</v>
      </c>
      <c r="Z35" s="127" t="s">
        <v>112</v>
      </c>
      <c r="AA35" s="123">
        <v>64.5</v>
      </c>
      <c r="AB35" s="129">
        <f t="shared" si="70"/>
        <v>0.56363636363636371</v>
      </c>
      <c r="AC35" s="57">
        <f t="shared" si="56"/>
        <v>61.274999999999999</v>
      </c>
      <c r="AD35" s="68">
        <f t="shared" si="71"/>
        <v>0.48545454545454536</v>
      </c>
      <c r="AE35" s="75"/>
      <c r="AF35" s="58" t="s">
        <v>140</v>
      </c>
      <c r="AG35" s="58">
        <v>42</v>
      </c>
      <c r="AH35" s="46">
        <f t="shared" si="72"/>
        <v>0.55555555555555558</v>
      </c>
      <c r="AI35" s="58" t="s">
        <v>147</v>
      </c>
      <c r="AJ35" s="58">
        <v>60</v>
      </c>
      <c r="AK35" s="46">
        <f t="shared" si="73"/>
        <v>0.4814814814814814</v>
      </c>
      <c r="AL35" s="77"/>
      <c r="AM35" s="59">
        <v>30</v>
      </c>
      <c r="AN35" s="132">
        <f t="shared" si="57"/>
        <v>43.5</v>
      </c>
      <c r="AO35" s="133">
        <f t="shared" si="58"/>
        <v>0.44999999999999996</v>
      </c>
      <c r="AP35" s="59">
        <f t="shared" si="59"/>
        <v>41.325000000000003</v>
      </c>
      <c r="AQ35" s="69">
        <f t="shared" si="60"/>
        <v>0.37750000000000017</v>
      </c>
      <c r="AR35" s="59">
        <f t="shared" si="61"/>
        <v>43.5</v>
      </c>
      <c r="AS35" s="132">
        <f t="shared" si="62"/>
        <v>63.074999999999996</v>
      </c>
      <c r="AT35" s="135">
        <f t="shared" si="63"/>
        <v>0.44999999999999996</v>
      </c>
      <c r="AU35" s="59">
        <f t="shared" si="64"/>
        <v>59.921249999999993</v>
      </c>
      <c r="AV35" s="69">
        <f t="shared" si="65"/>
        <v>0.37749999999999995</v>
      </c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</row>
    <row r="36" spans="1:59" s="41" customFormat="1" x14ac:dyDescent="0.25">
      <c r="A36" s="144"/>
      <c r="B36" s="79" t="s">
        <v>176</v>
      </c>
      <c r="C36" s="44">
        <v>28</v>
      </c>
      <c r="D36" s="44">
        <v>42.5</v>
      </c>
      <c r="E36" s="52">
        <f t="shared" si="51"/>
        <v>0.51785714285714279</v>
      </c>
      <c r="F36" s="44">
        <v>42</v>
      </c>
      <c r="G36" s="44">
        <v>57.38</v>
      </c>
      <c r="H36" s="52">
        <f t="shared" si="52"/>
        <v>0.36619047619047618</v>
      </c>
      <c r="I36" s="75"/>
      <c r="J36" s="60" t="s">
        <v>103</v>
      </c>
      <c r="K36" s="118">
        <v>38.75</v>
      </c>
      <c r="L36" s="111">
        <f>(K36+K36)/(27+31)-1</f>
        <v>0.3362068965517242</v>
      </c>
      <c r="M36" s="60">
        <f t="shared" si="66"/>
        <v>37.975000000000001</v>
      </c>
      <c r="N36" s="66">
        <f>(M36+M36)/(27+31)-1</f>
        <v>0.30948275862068964</v>
      </c>
      <c r="O36" s="60">
        <v>45</v>
      </c>
      <c r="P36" s="110">
        <v>58.25</v>
      </c>
      <c r="Q36" s="111">
        <f t="shared" si="53"/>
        <v>0.29444444444444451</v>
      </c>
      <c r="R36" s="60">
        <f t="shared" si="67"/>
        <v>57.085000000000001</v>
      </c>
      <c r="S36" s="66">
        <f t="shared" si="54"/>
        <v>0.26855555555555566</v>
      </c>
      <c r="T36" s="75"/>
      <c r="U36" s="57" t="s">
        <v>111</v>
      </c>
      <c r="V36" s="123">
        <v>43</v>
      </c>
      <c r="W36" s="124">
        <f t="shared" si="68"/>
        <v>0.56363636363636371</v>
      </c>
      <c r="X36" s="57">
        <f t="shared" si="55"/>
        <v>40.85</v>
      </c>
      <c r="Y36" s="68">
        <f t="shared" si="69"/>
        <v>0.48545454545454558</v>
      </c>
      <c r="Z36" s="127" t="s">
        <v>112</v>
      </c>
      <c r="AA36" s="123">
        <v>64.5</v>
      </c>
      <c r="AB36" s="129">
        <f t="shared" si="70"/>
        <v>0.56363636363636371</v>
      </c>
      <c r="AC36" s="57">
        <f t="shared" si="56"/>
        <v>61.274999999999999</v>
      </c>
      <c r="AD36" s="68">
        <f t="shared" si="71"/>
        <v>0.48545454545454536</v>
      </c>
      <c r="AE36" s="75"/>
      <c r="AF36" s="58" t="s">
        <v>140</v>
      </c>
      <c r="AG36" s="58">
        <v>42</v>
      </c>
      <c r="AH36" s="46">
        <f t="shared" si="72"/>
        <v>0.55555555555555558</v>
      </c>
      <c r="AI36" s="58" t="s">
        <v>147</v>
      </c>
      <c r="AJ36" s="58">
        <v>60</v>
      </c>
      <c r="AK36" s="46">
        <f t="shared" si="73"/>
        <v>0.4814814814814814</v>
      </c>
      <c r="AL36" s="77"/>
      <c r="AM36" s="59">
        <v>31</v>
      </c>
      <c r="AN36" s="132">
        <f t="shared" si="57"/>
        <v>44.949999999999996</v>
      </c>
      <c r="AO36" s="133">
        <f t="shared" si="58"/>
        <v>0.44999999999999996</v>
      </c>
      <c r="AP36" s="59">
        <f t="shared" si="59"/>
        <v>42.702499999999993</v>
      </c>
      <c r="AQ36" s="69">
        <f t="shared" si="60"/>
        <v>0.37749999999999972</v>
      </c>
      <c r="AR36" s="59">
        <f t="shared" si="61"/>
        <v>44.949999999999996</v>
      </c>
      <c r="AS36" s="132">
        <f t="shared" si="62"/>
        <v>65.177499999999995</v>
      </c>
      <c r="AT36" s="135">
        <f t="shared" si="63"/>
        <v>0.44999999999999996</v>
      </c>
      <c r="AU36" s="59">
        <f t="shared" si="64"/>
        <v>61.918624999999992</v>
      </c>
      <c r="AV36" s="69">
        <f t="shared" si="65"/>
        <v>0.37749999999999995</v>
      </c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</row>
    <row r="37" spans="1:59" s="78" customFormat="1" ht="8.4499999999999993" customHeight="1" x14ac:dyDescent="0.25">
      <c r="A37" s="92"/>
      <c r="B37" s="73"/>
      <c r="C37" s="74"/>
      <c r="D37" s="74"/>
      <c r="E37" s="75"/>
      <c r="F37" s="74"/>
      <c r="G37" s="74"/>
      <c r="H37" s="75"/>
      <c r="I37" s="75"/>
      <c r="J37" s="74"/>
      <c r="K37" s="115"/>
      <c r="L37" s="130"/>
      <c r="M37" s="74"/>
      <c r="N37" s="75"/>
      <c r="O37" s="74"/>
      <c r="P37" s="120"/>
      <c r="Q37" s="130"/>
      <c r="R37" s="75"/>
      <c r="S37" s="75"/>
      <c r="T37" s="75"/>
      <c r="U37" s="76"/>
      <c r="V37" s="76"/>
      <c r="W37" s="77"/>
      <c r="X37" s="76"/>
      <c r="Y37" s="77"/>
      <c r="Z37" s="128"/>
      <c r="AA37" s="119"/>
      <c r="AB37" s="130"/>
      <c r="AC37" s="75"/>
      <c r="AD37" s="75"/>
      <c r="AE37" s="75"/>
      <c r="AF37" s="76"/>
      <c r="AG37" s="76"/>
      <c r="AH37" s="77"/>
      <c r="AI37" s="76"/>
      <c r="AJ37" s="76"/>
      <c r="AK37" s="77"/>
      <c r="AL37" s="77"/>
      <c r="AM37" s="76"/>
      <c r="AN37" s="119"/>
      <c r="AO37" s="126"/>
      <c r="AP37" s="77"/>
      <c r="AQ37" s="77"/>
      <c r="AR37" s="76"/>
      <c r="AS37" s="119"/>
      <c r="AT37" s="130"/>
      <c r="AU37" s="75"/>
      <c r="AV37" s="75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</row>
    <row r="38" spans="1:59" s="41" customFormat="1" x14ac:dyDescent="0.25">
      <c r="A38" s="148" t="s">
        <v>2</v>
      </c>
      <c r="B38" s="79" t="s">
        <v>119</v>
      </c>
      <c r="C38" s="109">
        <v>33</v>
      </c>
      <c r="D38" s="109">
        <v>53</v>
      </c>
      <c r="E38" s="53">
        <f>D38/C38-1</f>
        <v>0.60606060606060597</v>
      </c>
      <c r="F38" s="109">
        <v>49.5</v>
      </c>
      <c r="G38" s="109">
        <v>71.55</v>
      </c>
      <c r="H38" s="52">
        <f t="shared" ref="H38:H43" si="74">G38/F38-1</f>
        <v>0.44545454545454533</v>
      </c>
      <c r="I38" s="75"/>
      <c r="J38" s="56" t="s">
        <v>108</v>
      </c>
      <c r="K38" s="117">
        <v>49</v>
      </c>
      <c r="L38" s="111">
        <f t="shared" ref="L38:L43" si="75">(K38+K38)/(29+33)-1</f>
        <v>0.58064516129032251</v>
      </c>
      <c r="M38" s="60">
        <f t="shared" si="66"/>
        <v>48.02</v>
      </c>
      <c r="N38" s="66">
        <f>(M38+M38)/(29+33)-1</f>
        <v>0.54903225806451617</v>
      </c>
      <c r="O38" s="56">
        <v>46.5</v>
      </c>
      <c r="P38" s="112">
        <v>73.5</v>
      </c>
      <c r="Q38" s="111">
        <f t="shared" ref="Q38:Q43" si="76">P38/O38-1</f>
        <v>0.58064516129032251</v>
      </c>
      <c r="R38" s="60">
        <f t="shared" si="67"/>
        <v>72.03</v>
      </c>
      <c r="S38" s="66">
        <f t="shared" si="54"/>
        <v>0.54903225806451617</v>
      </c>
      <c r="T38" s="75"/>
      <c r="U38" s="57" t="s">
        <v>115</v>
      </c>
      <c r="V38" s="123">
        <v>54</v>
      </c>
      <c r="W38" s="124">
        <f>(V38+V38)/(33+35)-1</f>
        <v>0.58823529411764697</v>
      </c>
      <c r="X38" s="57">
        <f t="shared" ref="X38:X43" si="77">V38-(V38*0.05)</f>
        <v>51.3</v>
      </c>
      <c r="Y38" s="68">
        <f>(X38+X38)/(33+35)-1</f>
        <v>0.50882352941176467</v>
      </c>
      <c r="Z38" s="127" t="s">
        <v>116</v>
      </c>
      <c r="AA38" s="123">
        <v>81</v>
      </c>
      <c r="AB38" s="129">
        <f>(AA38+AA38)/(49.25+52.5)-1</f>
        <v>0.59213759213759221</v>
      </c>
      <c r="AC38" s="57">
        <f t="shared" si="56"/>
        <v>76.95</v>
      </c>
      <c r="AD38" s="68">
        <f>(AC38+AC38)/(49.25+52.5)-1</f>
        <v>0.51253071253071258</v>
      </c>
      <c r="AE38" s="75"/>
      <c r="AF38" s="58" t="s">
        <v>143</v>
      </c>
      <c r="AG38" s="58">
        <v>37</v>
      </c>
      <c r="AH38" s="46">
        <f>(AG38+AG38)/(25+27)-1</f>
        <v>0.42307692307692313</v>
      </c>
      <c r="AI38" s="58" t="s">
        <v>144</v>
      </c>
      <c r="AJ38" s="58">
        <v>53</v>
      </c>
      <c r="AK38" s="46">
        <f>(AJ38+AJ38)/(34.5+37.5)-1</f>
        <v>0.47222222222222232</v>
      </c>
      <c r="AL38" s="77"/>
      <c r="AM38" s="59">
        <v>26</v>
      </c>
      <c r="AN38" s="132">
        <f t="shared" si="23"/>
        <v>37.699999999999996</v>
      </c>
      <c r="AO38" s="133">
        <f t="shared" si="3"/>
        <v>0.44999999999999973</v>
      </c>
      <c r="AP38" s="59">
        <f t="shared" si="59"/>
        <v>35.814999999999998</v>
      </c>
      <c r="AQ38" s="69">
        <f t="shared" si="60"/>
        <v>0.37749999999999995</v>
      </c>
      <c r="AR38" s="59">
        <f t="shared" si="24"/>
        <v>37.699999999999996</v>
      </c>
      <c r="AS38" s="132">
        <f t="shared" si="25"/>
        <v>54.664999999999992</v>
      </c>
      <c r="AT38" s="135">
        <f t="shared" si="6"/>
        <v>0.44999999999999996</v>
      </c>
      <c r="AU38" s="59">
        <f t="shared" si="64"/>
        <v>51.931749999999994</v>
      </c>
      <c r="AV38" s="69">
        <f t="shared" si="65"/>
        <v>0.37749999999999995</v>
      </c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</row>
    <row r="39" spans="1:59" s="41" customFormat="1" x14ac:dyDescent="0.25">
      <c r="A39" s="149"/>
      <c r="B39" s="79" t="s">
        <v>120</v>
      </c>
      <c r="C39" s="109">
        <v>33</v>
      </c>
      <c r="D39" s="109">
        <v>53</v>
      </c>
      <c r="E39" s="53">
        <f t="shared" ref="E39:E43" si="78">D39/C39-1</f>
        <v>0.60606060606060597</v>
      </c>
      <c r="F39" s="109">
        <v>49.5</v>
      </c>
      <c r="G39" s="109">
        <v>71.55</v>
      </c>
      <c r="H39" s="52">
        <f t="shared" si="74"/>
        <v>0.44545454545454533</v>
      </c>
      <c r="I39" s="75"/>
      <c r="J39" s="56" t="s">
        <v>108</v>
      </c>
      <c r="K39" s="117">
        <v>49</v>
      </c>
      <c r="L39" s="111">
        <f t="shared" si="75"/>
        <v>0.58064516129032251</v>
      </c>
      <c r="M39" s="60">
        <f t="shared" si="66"/>
        <v>48.02</v>
      </c>
      <c r="N39" s="66">
        <f t="shared" ref="N39:N43" si="79">(M39+M39)/(29+33)-1</f>
        <v>0.54903225806451617</v>
      </c>
      <c r="O39" s="56">
        <v>46.5</v>
      </c>
      <c r="P39" s="112">
        <v>73.5</v>
      </c>
      <c r="Q39" s="111">
        <f t="shared" si="76"/>
        <v>0.58064516129032251</v>
      </c>
      <c r="R39" s="60">
        <f t="shared" si="67"/>
        <v>72.03</v>
      </c>
      <c r="S39" s="66">
        <f t="shared" si="54"/>
        <v>0.54903225806451617</v>
      </c>
      <c r="T39" s="75"/>
      <c r="U39" s="57" t="s">
        <v>115</v>
      </c>
      <c r="V39" s="123">
        <v>54</v>
      </c>
      <c r="W39" s="124">
        <f t="shared" ref="W39:W43" si="80">(V39+V39)/(33+35)-1</f>
        <v>0.58823529411764697</v>
      </c>
      <c r="X39" s="57">
        <f t="shared" si="77"/>
        <v>51.3</v>
      </c>
      <c r="Y39" s="68">
        <f t="shared" ref="Y39:Y43" si="81">(X39+X39)/(33+35)-1</f>
        <v>0.50882352941176467</v>
      </c>
      <c r="Z39" s="127" t="s">
        <v>116</v>
      </c>
      <c r="AA39" s="123">
        <v>81</v>
      </c>
      <c r="AB39" s="129">
        <f t="shared" ref="AB39:AB43" si="82">(AA39+AA39)/(49.25+52.5)-1</f>
        <v>0.59213759213759221</v>
      </c>
      <c r="AC39" s="57">
        <f t="shared" si="56"/>
        <v>76.95</v>
      </c>
      <c r="AD39" s="68">
        <f t="shared" ref="AD39:AD43" si="83">(AC39+AC39)/(49.25+52.5)-1</f>
        <v>0.51253071253071258</v>
      </c>
      <c r="AE39" s="75"/>
      <c r="AF39" s="58" t="s">
        <v>143</v>
      </c>
      <c r="AG39" s="58">
        <v>37</v>
      </c>
      <c r="AH39" s="46">
        <f t="shared" ref="AH39:AH43" si="84">(AG39+AG39)/(25+27)-1</f>
        <v>0.42307692307692313</v>
      </c>
      <c r="AI39" s="58" t="s">
        <v>144</v>
      </c>
      <c r="AJ39" s="58">
        <v>53</v>
      </c>
      <c r="AK39" s="46">
        <f t="shared" ref="AK39:AK43" si="85">(AJ39+AJ39)/(34.5+37.5)-1</f>
        <v>0.47222222222222232</v>
      </c>
      <c r="AL39" s="77"/>
      <c r="AM39" s="59">
        <v>27</v>
      </c>
      <c r="AN39" s="132">
        <f>SUM(AM39*1.45)</f>
        <v>39.15</v>
      </c>
      <c r="AO39" s="133">
        <f t="shared" si="3"/>
        <v>0.44999999999999996</v>
      </c>
      <c r="AP39" s="59">
        <f t="shared" si="59"/>
        <v>37.192499999999995</v>
      </c>
      <c r="AQ39" s="69">
        <f t="shared" si="60"/>
        <v>0.37749999999999972</v>
      </c>
      <c r="AR39" s="59">
        <f>SUM(AN39)</f>
        <v>39.15</v>
      </c>
      <c r="AS39" s="132">
        <f>SUM(AR39*1.45)</f>
        <v>56.767499999999998</v>
      </c>
      <c r="AT39" s="135">
        <f t="shared" si="6"/>
        <v>0.44999999999999996</v>
      </c>
      <c r="AU39" s="59">
        <f t="shared" si="64"/>
        <v>53.929124999999999</v>
      </c>
      <c r="AV39" s="69">
        <f t="shared" si="65"/>
        <v>0.37749999999999995</v>
      </c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</row>
    <row r="40" spans="1:59" s="41" customFormat="1" x14ac:dyDescent="0.25">
      <c r="A40" s="149"/>
      <c r="B40" s="79" t="s">
        <v>175</v>
      </c>
      <c r="C40" s="109">
        <v>33</v>
      </c>
      <c r="D40" s="109">
        <v>53</v>
      </c>
      <c r="E40" s="53">
        <f t="shared" si="78"/>
        <v>0.60606060606060597</v>
      </c>
      <c r="F40" s="109">
        <v>49.5</v>
      </c>
      <c r="G40" s="109">
        <v>71.55</v>
      </c>
      <c r="H40" s="52">
        <f t="shared" si="74"/>
        <v>0.44545454545454533</v>
      </c>
      <c r="I40" s="75"/>
      <c r="J40" s="56" t="s">
        <v>108</v>
      </c>
      <c r="K40" s="117">
        <v>49</v>
      </c>
      <c r="L40" s="111">
        <f t="shared" si="75"/>
        <v>0.58064516129032251</v>
      </c>
      <c r="M40" s="60">
        <f t="shared" si="66"/>
        <v>48.02</v>
      </c>
      <c r="N40" s="66">
        <f t="shared" si="79"/>
        <v>0.54903225806451617</v>
      </c>
      <c r="O40" s="56">
        <v>46.5</v>
      </c>
      <c r="P40" s="112">
        <v>73.5</v>
      </c>
      <c r="Q40" s="111">
        <f t="shared" si="76"/>
        <v>0.58064516129032251</v>
      </c>
      <c r="R40" s="60">
        <f t="shared" si="67"/>
        <v>72.03</v>
      </c>
      <c r="S40" s="66">
        <f t="shared" si="54"/>
        <v>0.54903225806451617</v>
      </c>
      <c r="T40" s="75"/>
      <c r="U40" s="57" t="s">
        <v>115</v>
      </c>
      <c r="V40" s="123">
        <v>54</v>
      </c>
      <c r="W40" s="124">
        <f t="shared" si="80"/>
        <v>0.58823529411764697</v>
      </c>
      <c r="X40" s="57">
        <f t="shared" si="77"/>
        <v>51.3</v>
      </c>
      <c r="Y40" s="68">
        <f t="shared" si="81"/>
        <v>0.50882352941176467</v>
      </c>
      <c r="Z40" s="127" t="s">
        <v>116</v>
      </c>
      <c r="AA40" s="123">
        <v>81</v>
      </c>
      <c r="AB40" s="129">
        <f t="shared" si="82"/>
        <v>0.59213759213759221</v>
      </c>
      <c r="AC40" s="57">
        <f t="shared" si="56"/>
        <v>76.95</v>
      </c>
      <c r="AD40" s="68">
        <f t="shared" si="83"/>
        <v>0.51253071253071258</v>
      </c>
      <c r="AE40" s="75"/>
      <c r="AF40" s="58" t="s">
        <v>143</v>
      </c>
      <c r="AG40" s="58">
        <v>37</v>
      </c>
      <c r="AH40" s="46">
        <f t="shared" si="84"/>
        <v>0.42307692307692313</v>
      </c>
      <c r="AI40" s="58" t="s">
        <v>144</v>
      </c>
      <c r="AJ40" s="58">
        <v>53</v>
      </c>
      <c r="AK40" s="46">
        <f t="shared" si="85"/>
        <v>0.47222222222222232</v>
      </c>
      <c r="AL40" s="77"/>
      <c r="AM40" s="59">
        <v>28</v>
      </c>
      <c r="AN40" s="132">
        <f>SUM(AM40*1.45)</f>
        <v>40.6</v>
      </c>
      <c r="AO40" s="133">
        <f t="shared" si="3"/>
        <v>0.44999999999999996</v>
      </c>
      <c r="AP40" s="59">
        <f t="shared" si="59"/>
        <v>38.57</v>
      </c>
      <c r="AQ40" s="69">
        <f t="shared" si="60"/>
        <v>0.37749999999999995</v>
      </c>
      <c r="AR40" s="59">
        <f>SUM(AN40)</f>
        <v>40.6</v>
      </c>
      <c r="AS40" s="132">
        <f>SUM(AR40*1.45)</f>
        <v>58.87</v>
      </c>
      <c r="AT40" s="135">
        <f t="shared" si="6"/>
        <v>0.44999999999999996</v>
      </c>
      <c r="AU40" s="59">
        <f t="shared" si="64"/>
        <v>55.926499999999997</v>
      </c>
      <c r="AV40" s="69">
        <f t="shared" si="65"/>
        <v>0.37749999999999995</v>
      </c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</row>
    <row r="41" spans="1:59" s="41" customFormat="1" x14ac:dyDescent="0.25">
      <c r="A41" s="149"/>
      <c r="B41" s="79" t="s">
        <v>121</v>
      </c>
      <c r="C41" s="109">
        <v>33</v>
      </c>
      <c r="D41" s="109">
        <v>53</v>
      </c>
      <c r="E41" s="53">
        <f t="shared" si="78"/>
        <v>0.60606060606060597</v>
      </c>
      <c r="F41" s="109">
        <v>49.5</v>
      </c>
      <c r="G41" s="109">
        <v>71.55</v>
      </c>
      <c r="H41" s="52">
        <f t="shared" si="74"/>
        <v>0.44545454545454533</v>
      </c>
      <c r="I41" s="75"/>
      <c r="J41" s="56" t="s">
        <v>108</v>
      </c>
      <c r="K41" s="117">
        <v>49</v>
      </c>
      <c r="L41" s="111">
        <f t="shared" si="75"/>
        <v>0.58064516129032251</v>
      </c>
      <c r="M41" s="60">
        <f t="shared" si="66"/>
        <v>48.02</v>
      </c>
      <c r="N41" s="66">
        <f t="shared" si="79"/>
        <v>0.54903225806451617</v>
      </c>
      <c r="O41" s="56">
        <v>46.5</v>
      </c>
      <c r="P41" s="112">
        <v>73.5</v>
      </c>
      <c r="Q41" s="111">
        <f t="shared" si="76"/>
        <v>0.58064516129032251</v>
      </c>
      <c r="R41" s="60">
        <f t="shared" si="67"/>
        <v>72.03</v>
      </c>
      <c r="S41" s="66">
        <f t="shared" si="54"/>
        <v>0.54903225806451617</v>
      </c>
      <c r="T41" s="75"/>
      <c r="U41" s="57" t="s">
        <v>115</v>
      </c>
      <c r="V41" s="123">
        <v>54</v>
      </c>
      <c r="W41" s="124">
        <f t="shared" si="80"/>
        <v>0.58823529411764697</v>
      </c>
      <c r="X41" s="57">
        <f t="shared" si="77"/>
        <v>51.3</v>
      </c>
      <c r="Y41" s="68">
        <f t="shared" si="81"/>
        <v>0.50882352941176467</v>
      </c>
      <c r="Z41" s="127" t="s">
        <v>116</v>
      </c>
      <c r="AA41" s="123">
        <v>81</v>
      </c>
      <c r="AB41" s="129">
        <f t="shared" si="82"/>
        <v>0.59213759213759221</v>
      </c>
      <c r="AC41" s="57">
        <f t="shared" si="56"/>
        <v>76.95</v>
      </c>
      <c r="AD41" s="68">
        <f t="shared" si="83"/>
        <v>0.51253071253071258</v>
      </c>
      <c r="AE41" s="75"/>
      <c r="AF41" s="58" t="s">
        <v>143</v>
      </c>
      <c r="AG41" s="58">
        <v>37</v>
      </c>
      <c r="AH41" s="46">
        <f t="shared" si="84"/>
        <v>0.42307692307692313</v>
      </c>
      <c r="AI41" s="58" t="s">
        <v>144</v>
      </c>
      <c r="AJ41" s="58">
        <v>53</v>
      </c>
      <c r="AK41" s="46">
        <f t="shared" si="85"/>
        <v>0.47222222222222232</v>
      </c>
      <c r="AL41" s="77"/>
      <c r="AM41" s="59">
        <v>27</v>
      </c>
      <c r="AN41" s="132">
        <f t="shared" si="23"/>
        <v>39.15</v>
      </c>
      <c r="AO41" s="133">
        <f t="shared" si="3"/>
        <v>0.44999999999999996</v>
      </c>
      <c r="AP41" s="59">
        <f t="shared" si="59"/>
        <v>37.192499999999995</v>
      </c>
      <c r="AQ41" s="69">
        <f t="shared" si="60"/>
        <v>0.37749999999999972</v>
      </c>
      <c r="AR41" s="59">
        <f t="shared" si="24"/>
        <v>39.15</v>
      </c>
      <c r="AS41" s="132">
        <f t="shared" si="25"/>
        <v>56.767499999999998</v>
      </c>
      <c r="AT41" s="135">
        <f t="shared" si="6"/>
        <v>0.44999999999999996</v>
      </c>
      <c r="AU41" s="59">
        <f t="shared" si="64"/>
        <v>53.929124999999999</v>
      </c>
      <c r="AV41" s="69">
        <f t="shared" si="65"/>
        <v>0.37749999999999995</v>
      </c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</row>
    <row r="42" spans="1:59" s="41" customFormat="1" x14ac:dyDescent="0.25">
      <c r="A42" s="149"/>
      <c r="B42" s="79" t="s">
        <v>122</v>
      </c>
      <c r="C42" s="109">
        <v>33</v>
      </c>
      <c r="D42" s="109">
        <v>53</v>
      </c>
      <c r="E42" s="53">
        <f t="shared" si="78"/>
        <v>0.60606060606060597</v>
      </c>
      <c r="F42" s="109">
        <v>49.5</v>
      </c>
      <c r="G42" s="109">
        <v>71.55</v>
      </c>
      <c r="H42" s="52">
        <f t="shared" si="74"/>
        <v>0.44545454545454533</v>
      </c>
      <c r="I42" s="75"/>
      <c r="J42" s="56" t="s">
        <v>108</v>
      </c>
      <c r="K42" s="117">
        <v>49</v>
      </c>
      <c r="L42" s="111">
        <f t="shared" si="75"/>
        <v>0.58064516129032251</v>
      </c>
      <c r="M42" s="60">
        <f t="shared" si="66"/>
        <v>48.02</v>
      </c>
      <c r="N42" s="66">
        <f t="shared" si="79"/>
        <v>0.54903225806451617</v>
      </c>
      <c r="O42" s="56">
        <v>46.5</v>
      </c>
      <c r="P42" s="112">
        <v>73.5</v>
      </c>
      <c r="Q42" s="111">
        <f t="shared" si="76"/>
        <v>0.58064516129032251</v>
      </c>
      <c r="R42" s="60">
        <f t="shared" si="67"/>
        <v>72.03</v>
      </c>
      <c r="S42" s="66">
        <f t="shared" si="54"/>
        <v>0.54903225806451617</v>
      </c>
      <c r="T42" s="75"/>
      <c r="U42" s="57" t="s">
        <v>115</v>
      </c>
      <c r="V42" s="123">
        <v>54</v>
      </c>
      <c r="W42" s="124">
        <f t="shared" si="80"/>
        <v>0.58823529411764697</v>
      </c>
      <c r="X42" s="57">
        <f t="shared" si="77"/>
        <v>51.3</v>
      </c>
      <c r="Y42" s="68">
        <f t="shared" si="81"/>
        <v>0.50882352941176467</v>
      </c>
      <c r="Z42" s="127" t="s">
        <v>116</v>
      </c>
      <c r="AA42" s="123">
        <v>81</v>
      </c>
      <c r="AB42" s="129">
        <f t="shared" si="82"/>
        <v>0.59213759213759221</v>
      </c>
      <c r="AC42" s="57">
        <f t="shared" si="56"/>
        <v>76.95</v>
      </c>
      <c r="AD42" s="68">
        <f t="shared" si="83"/>
        <v>0.51253071253071258</v>
      </c>
      <c r="AE42" s="75"/>
      <c r="AF42" s="58" t="s">
        <v>143</v>
      </c>
      <c r="AG42" s="58">
        <v>37</v>
      </c>
      <c r="AH42" s="46">
        <f t="shared" si="84"/>
        <v>0.42307692307692313</v>
      </c>
      <c r="AI42" s="58" t="s">
        <v>144</v>
      </c>
      <c r="AJ42" s="58">
        <v>53</v>
      </c>
      <c r="AK42" s="46">
        <f t="shared" si="85"/>
        <v>0.47222222222222232</v>
      </c>
      <c r="AL42" s="77"/>
      <c r="AM42" s="59">
        <v>28</v>
      </c>
      <c r="AN42" s="132">
        <f t="shared" si="23"/>
        <v>40.6</v>
      </c>
      <c r="AO42" s="133">
        <f t="shared" si="3"/>
        <v>0.44999999999999996</v>
      </c>
      <c r="AP42" s="59">
        <f t="shared" si="59"/>
        <v>38.57</v>
      </c>
      <c r="AQ42" s="69">
        <f t="shared" si="60"/>
        <v>0.37749999999999995</v>
      </c>
      <c r="AR42" s="59">
        <f t="shared" si="24"/>
        <v>40.6</v>
      </c>
      <c r="AS42" s="132">
        <f t="shared" si="25"/>
        <v>58.87</v>
      </c>
      <c r="AT42" s="135">
        <f t="shared" si="6"/>
        <v>0.44999999999999996</v>
      </c>
      <c r="AU42" s="59">
        <f t="shared" si="64"/>
        <v>55.926499999999997</v>
      </c>
      <c r="AV42" s="69">
        <f t="shared" si="65"/>
        <v>0.37749999999999995</v>
      </c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</row>
    <row r="43" spans="1:59" s="41" customFormat="1" x14ac:dyDescent="0.25">
      <c r="A43" s="150"/>
      <c r="B43" s="79" t="s">
        <v>176</v>
      </c>
      <c r="C43" s="109">
        <v>33</v>
      </c>
      <c r="D43" s="109">
        <v>53</v>
      </c>
      <c r="E43" s="53">
        <f t="shared" si="78"/>
        <v>0.60606060606060597</v>
      </c>
      <c r="F43" s="109">
        <v>49.5</v>
      </c>
      <c r="G43" s="109">
        <v>71.55</v>
      </c>
      <c r="H43" s="52">
        <f t="shared" si="74"/>
        <v>0.44545454545454533</v>
      </c>
      <c r="I43" s="75"/>
      <c r="J43" s="56" t="s">
        <v>108</v>
      </c>
      <c r="K43" s="117">
        <v>49</v>
      </c>
      <c r="L43" s="111">
        <f t="shared" si="75"/>
        <v>0.58064516129032251</v>
      </c>
      <c r="M43" s="60">
        <f t="shared" si="66"/>
        <v>48.02</v>
      </c>
      <c r="N43" s="66">
        <f t="shared" si="79"/>
        <v>0.54903225806451617</v>
      </c>
      <c r="O43" s="56">
        <v>46.5</v>
      </c>
      <c r="P43" s="112">
        <v>73.5</v>
      </c>
      <c r="Q43" s="111">
        <f t="shared" si="76"/>
        <v>0.58064516129032251</v>
      </c>
      <c r="R43" s="60">
        <f t="shared" si="67"/>
        <v>72.03</v>
      </c>
      <c r="S43" s="66">
        <f t="shared" si="54"/>
        <v>0.54903225806451617</v>
      </c>
      <c r="T43" s="75"/>
      <c r="U43" s="57" t="s">
        <v>115</v>
      </c>
      <c r="V43" s="123">
        <v>54</v>
      </c>
      <c r="W43" s="124">
        <f t="shared" si="80"/>
        <v>0.58823529411764697</v>
      </c>
      <c r="X43" s="57">
        <f t="shared" si="77"/>
        <v>51.3</v>
      </c>
      <c r="Y43" s="68">
        <f t="shared" si="81"/>
        <v>0.50882352941176467</v>
      </c>
      <c r="Z43" s="127" t="s">
        <v>116</v>
      </c>
      <c r="AA43" s="123">
        <v>81</v>
      </c>
      <c r="AB43" s="129">
        <f t="shared" si="82"/>
        <v>0.59213759213759221</v>
      </c>
      <c r="AC43" s="57">
        <f t="shared" si="56"/>
        <v>76.95</v>
      </c>
      <c r="AD43" s="68">
        <f t="shared" si="83"/>
        <v>0.51253071253071258</v>
      </c>
      <c r="AE43" s="75"/>
      <c r="AF43" s="58" t="s">
        <v>143</v>
      </c>
      <c r="AG43" s="58">
        <v>37</v>
      </c>
      <c r="AH43" s="46">
        <f t="shared" si="84"/>
        <v>0.42307692307692313</v>
      </c>
      <c r="AI43" s="58" t="s">
        <v>144</v>
      </c>
      <c r="AJ43" s="58">
        <v>53</v>
      </c>
      <c r="AK43" s="46">
        <f t="shared" si="85"/>
        <v>0.47222222222222232</v>
      </c>
      <c r="AL43" s="77"/>
      <c r="AM43" s="59">
        <v>29</v>
      </c>
      <c r="AN43" s="132">
        <f t="shared" si="23"/>
        <v>42.05</v>
      </c>
      <c r="AO43" s="133">
        <f t="shared" si="3"/>
        <v>0.44999999999999996</v>
      </c>
      <c r="AP43" s="59">
        <f t="shared" si="59"/>
        <v>39.947499999999998</v>
      </c>
      <c r="AQ43" s="69">
        <f t="shared" si="60"/>
        <v>0.37749999999999995</v>
      </c>
      <c r="AR43" s="59">
        <f t="shared" si="24"/>
        <v>42.05</v>
      </c>
      <c r="AS43" s="132">
        <f t="shared" si="25"/>
        <v>60.972499999999997</v>
      </c>
      <c r="AT43" s="135">
        <f t="shared" si="6"/>
        <v>0.44999999999999996</v>
      </c>
      <c r="AU43" s="59">
        <f t="shared" si="64"/>
        <v>57.923874999999995</v>
      </c>
      <c r="AV43" s="69">
        <f t="shared" si="65"/>
        <v>0.37749999999999995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</row>
    <row r="44" spans="1:59" s="78" customFormat="1" ht="8.4499999999999993" customHeight="1" x14ac:dyDescent="0.25">
      <c r="A44" s="72"/>
      <c r="B44" s="73"/>
      <c r="C44" s="74"/>
      <c r="D44" s="74"/>
      <c r="E44" s="75"/>
      <c r="F44" s="74"/>
      <c r="G44" s="74"/>
      <c r="H44" s="75"/>
      <c r="I44" s="75"/>
      <c r="J44" s="74"/>
      <c r="K44" s="115"/>
      <c r="L44" s="130"/>
      <c r="M44" s="74"/>
      <c r="N44" s="75"/>
      <c r="O44" s="74"/>
      <c r="P44" s="120"/>
      <c r="Q44" s="130"/>
      <c r="R44" s="75"/>
      <c r="S44" s="75"/>
      <c r="T44" s="75"/>
      <c r="U44" s="76"/>
      <c r="V44" s="119"/>
      <c r="W44" s="126"/>
      <c r="X44" s="76"/>
      <c r="Y44" s="77"/>
      <c r="Z44" s="128"/>
      <c r="AA44" s="119"/>
      <c r="AB44" s="130"/>
      <c r="AC44" s="75"/>
      <c r="AD44" s="75"/>
      <c r="AE44" s="75"/>
      <c r="AF44" s="76"/>
      <c r="AG44" s="76"/>
      <c r="AH44" s="77"/>
      <c r="AI44" s="76"/>
      <c r="AJ44" s="76"/>
      <c r="AK44" s="77"/>
      <c r="AL44" s="77"/>
      <c r="AM44" s="76"/>
      <c r="AN44" s="119"/>
      <c r="AO44" s="126"/>
      <c r="AP44" s="77"/>
      <c r="AQ44" s="77"/>
      <c r="AR44" s="76"/>
      <c r="AS44" s="119"/>
      <c r="AT44" s="130"/>
      <c r="AU44" s="75"/>
      <c r="AV44" s="75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</row>
    <row r="45" spans="1:59" s="41" customFormat="1" x14ac:dyDescent="0.25">
      <c r="A45" s="142" t="s">
        <v>154</v>
      </c>
      <c r="B45" s="79" t="s">
        <v>119</v>
      </c>
      <c r="C45" s="44">
        <v>34</v>
      </c>
      <c r="D45" s="44">
        <v>51</v>
      </c>
      <c r="E45" s="52">
        <f>(D45/C45)-1</f>
        <v>0.5</v>
      </c>
      <c r="F45" s="44">
        <v>51</v>
      </c>
      <c r="G45" s="44">
        <v>68.849999999999994</v>
      </c>
      <c r="H45" s="52">
        <f>G45/F45-1</f>
        <v>0.34999999999999987</v>
      </c>
      <c r="I45" s="75"/>
      <c r="J45" s="60" t="s">
        <v>93</v>
      </c>
      <c r="K45" s="118">
        <v>48.25</v>
      </c>
      <c r="L45" s="111">
        <f>(K45+K45)/(32+34)-1</f>
        <v>0.46212121212121215</v>
      </c>
      <c r="M45" s="60">
        <f t="shared" si="66"/>
        <v>47.284999999999997</v>
      </c>
      <c r="N45" s="66">
        <f>(M45+M45)/(32+34)-1</f>
        <v>0.43287878787878786</v>
      </c>
      <c r="O45" s="60">
        <v>49.5</v>
      </c>
      <c r="P45" s="110">
        <v>72</v>
      </c>
      <c r="Q45" s="111">
        <f t="shared" ref="Q45:Q50" si="86">P45/O45-1</f>
        <v>0.45454545454545459</v>
      </c>
      <c r="R45" s="60">
        <f t="shared" si="67"/>
        <v>70.56</v>
      </c>
      <c r="S45" s="66">
        <f t="shared" si="54"/>
        <v>0.42545454545454553</v>
      </c>
      <c r="T45" s="75"/>
      <c r="U45" s="57" t="s">
        <v>109</v>
      </c>
      <c r="V45" s="123">
        <v>51</v>
      </c>
      <c r="W45" s="124">
        <f>(V45+V45)/(33+36)-1</f>
        <v>0.47826086956521729</v>
      </c>
      <c r="X45" s="57">
        <f t="shared" ref="X45:X50" si="87">V45-(V45*0.05)</f>
        <v>48.45</v>
      </c>
      <c r="Y45" s="68">
        <f>(X45+X45)/(33+36)-1</f>
        <v>0.40434782608695663</v>
      </c>
      <c r="Z45" s="127" t="s">
        <v>110</v>
      </c>
      <c r="AA45" s="123">
        <v>76.5</v>
      </c>
      <c r="AB45" s="129">
        <f>(AA45+AA45)/(49.5+54)-1</f>
        <v>0.47826086956521729</v>
      </c>
      <c r="AC45" s="57">
        <f t="shared" si="56"/>
        <v>72.674999999999997</v>
      </c>
      <c r="AD45" s="68">
        <f>(AC45+AC45)/(49.5+54)-1</f>
        <v>0.40434782608695641</v>
      </c>
      <c r="AE45" s="75"/>
      <c r="AF45" s="58" t="s">
        <v>139</v>
      </c>
      <c r="AG45" s="58">
        <v>51</v>
      </c>
      <c r="AH45" s="46">
        <f>(AG45+AG45)/(33+36)-1</f>
        <v>0.47826086956521729</v>
      </c>
      <c r="AI45" s="58" t="s">
        <v>148</v>
      </c>
      <c r="AJ45" s="58">
        <v>74</v>
      </c>
      <c r="AK45" s="46">
        <f>(AJ45+AJ45)/(49.5+54)-1</f>
        <v>0.42995169082125595</v>
      </c>
      <c r="AL45" s="77"/>
      <c r="AM45" s="59">
        <v>35</v>
      </c>
      <c r="AN45" s="132">
        <f>SUM(AM45*1.45)</f>
        <v>50.75</v>
      </c>
      <c r="AO45" s="133">
        <f t="shared" ref="AO45:AO50" si="88">AN45/AM45-1</f>
        <v>0.44999999999999996</v>
      </c>
      <c r="AP45" s="59">
        <f t="shared" si="59"/>
        <v>48.212499999999999</v>
      </c>
      <c r="AQ45" s="69">
        <f t="shared" si="60"/>
        <v>0.37749999999999995</v>
      </c>
      <c r="AR45" s="59">
        <f t="shared" ref="AR45:AR50" si="89">SUM(AN45)</f>
        <v>50.75</v>
      </c>
      <c r="AS45" s="132">
        <f>SUM(AR45*1.45)</f>
        <v>73.587499999999991</v>
      </c>
      <c r="AT45" s="135">
        <f t="shared" ref="AT45:AT50" si="90">AS45/AR45-1</f>
        <v>0.44999999999999973</v>
      </c>
      <c r="AU45" s="59">
        <f t="shared" si="64"/>
        <v>69.908124999999998</v>
      </c>
      <c r="AV45" s="69">
        <f t="shared" si="65"/>
        <v>0.37749999999999995</v>
      </c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</row>
    <row r="46" spans="1:59" s="41" customFormat="1" x14ac:dyDescent="0.25">
      <c r="A46" s="143"/>
      <c r="B46" s="79" t="s">
        <v>120</v>
      </c>
      <c r="C46" s="44">
        <v>34</v>
      </c>
      <c r="D46" s="44">
        <v>51</v>
      </c>
      <c r="E46" s="52">
        <f t="shared" ref="E46:E50" si="91">(D46/C46)-1</f>
        <v>0.5</v>
      </c>
      <c r="F46" s="44">
        <v>51</v>
      </c>
      <c r="G46" s="44">
        <v>68.849999999999994</v>
      </c>
      <c r="H46" s="52">
        <f t="shared" ref="H46:H50" si="92">G46/F46-1</f>
        <v>0.34999999999999987</v>
      </c>
      <c r="I46" s="75"/>
      <c r="J46" s="60" t="s">
        <v>95</v>
      </c>
      <c r="K46" s="118">
        <v>48.75</v>
      </c>
      <c r="L46" s="111">
        <f>(K46+K46)/(33+35)-1</f>
        <v>0.43382352941176472</v>
      </c>
      <c r="M46" s="60">
        <f t="shared" si="66"/>
        <v>47.774999999999999</v>
      </c>
      <c r="N46" s="66">
        <f>(M46+M46)/(33+35)-1</f>
        <v>0.4051470588235293</v>
      </c>
      <c r="O46" s="60">
        <v>51</v>
      </c>
      <c r="P46" s="110">
        <v>73.5</v>
      </c>
      <c r="Q46" s="111">
        <f t="shared" si="86"/>
        <v>0.44117647058823528</v>
      </c>
      <c r="R46" s="60">
        <f t="shared" si="67"/>
        <v>72.03</v>
      </c>
      <c r="S46" s="66">
        <f t="shared" si="54"/>
        <v>0.41235294117647059</v>
      </c>
      <c r="T46" s="75"/>
      <c r="U46" s="57" t="s">
        <v>109</v>
      </c>
      <c r="V46" s="123">
        <v>51</v>
      </c>
      <c r="W46" s="124">
        <f t="shared" ref="W46:W50" si="93">(V46+V46)/(33+36)-1</f>
        <v>0.47826086956521729</v>
      </c>
      <c r="X46" s="57">
        <f t="shared" si="87"/>
        <v>48.45</v>
      </c>
      <c r="Y46" s="68">
        <f t="shared" ref="Y46:Y50" si="94">(X46+X46)/(33+36)-1</f>
        <v>0.40434782608695663</v>
      </c>
      <c r="Z46" s="127" t="s">
        <v>110</v>
      </c>
      <c r="AA46" s="123">
        <v>76.5</v>
      </c>
      <c r="AB46" s="129">
        <f t="shared" ref="AB46:AB50" si="95">(AA46+AA46)/(49.5+54)-1</f>
        <v>0.47826086956521729</v>
      </c>
      <c r="AC46" s="57">
        <f t="shared" si="56"/>
        <v>72.674999999999997</v>
      </c>
      <c r="AD46" s="68">
        <f t="shared" ref="AD46:AD50" si="96">(AC46+AC46)/(49.5+54)-1</f>
        <v>0.40434782608695641</v>
      </c>
      <c r="AE46" s="75"/>
      <c r="AF46" s="58" t="s">
        <v>139</v>
      </c>
      <c r="AG46" s="58">
        <v>51</v>
      </c>
      <c r="AH46" s="46">
        <f t="shared" ref="AH46:AH50" si="97">(AG46+AG46)/(33+36)-1</f>
        <v>0.47826086956521729</v>
      </c>
      <c r="AI46" s="58" t="s">
        <v>148</v>
      </c>
      <c r="AJ46" s="58">
        <v>74</v>
      </c>
      <c r="AK46" s="46">
        <f t="shared" ref="AK46:AK50" si="98">(AJ46+AJ46)/(49.5+54)-1</f>
        <v>0.42995169082125595</v>
      </c>
      <c r="AL46" s="77"/>
      <c r="AM46" s="59">
        <v>36</v>
      </c>
      <c r="AN46" s="132">
        <f>SUM(AM46*1.45)</f>
        <v>52.199999999999996</v>
      </c>
      <c r="AO46" s="133">
        <f t="shared" si="88"/>
        <v>0.44999999999999996</v>
      </c>
      <c r="AP46" s="59">
        <f t="shared" si="59"/>
        <v>49.589999999999996</v>
      </c>
      <c r="AQ46" s="69">
        <f t="shared" si="60"/>
        <v>0.37749999999999995</v>
      </c>
      <c r="AR46" s="59">
        <f t="shared" si="89"/>
        <v>52.199999999999996</v>
      </c>
      <c r="AS46" s="132">
        <f>SUM(AR46*1.45)</f>
        <v>75.69</v>
      </c>
      <c r="AT46" s="135">
        <f t="shared" si="90"/>
        <v>0.45000000000000018</v>
      </c>
      <c r="AU46" s="59">
        <f t="shared" si="64"/>
        <v>71.905500000000004</v>
      </c>
      <c r="AV46" s="69">
        <f t="shared" si="65"/>
        <v>0.37750000000000017</v>
      </c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</row>
    <row r="47" spans="1:59" s="41" customFormat="1" x14ac:dyDescent="0.25">
      <c r="A47" s="143"/>
      <c r="B47" s="79" t="s">
        <v>175</v>
      </c>
      <c r="C47" s="44">
        <v>34</v>
      </c>
      <c r="D47" s="44">
        <v>51</v>
      </c>
      <c r="E47" s="52">
        <f t="shared" si="91"/>
        <v>0.5</v>
      </c>
      <c r="F47" s="44">
        <v>51</v>
      </c>
      <c r="G47" s="44">
        <v>68.849999999999994</v>
      </c>
      <c r="H47" s="52">
        <f t="shared" si="92"/>
        <v>0.34999999999999987</v>
      </c>
      <c r="I47" s="75"/>
      <c r="J47" s="60" t="s">
        <v>97</v>
      </c>
      <c r="K47" s="118">
        <v>49.25</v>
      </c>
      <c r="L47" s="111">
        <f>(K47+K47)/(34+36.5)-1</f>
        <v>0.39716312056737579</v>
      </c>
      <c r="M47" s="60">
        <f t="shared" si="66"/>
        <v>48.265000000000001</v>
      </c>
      <c r="N47" s="66">
        <f>(M47+M47)/(34+36.5)-1</f>
        <v>0.36921985815602842</v>
      </c>
      <c r="O47" s="60">
        <v>52.5</v>
      </c>
      <c r="P47" s="110">
        <v>74</v>
      </c>
      <c r="Q47" s="111">
        <f t="shared" si="86"/>
        <v>0.40952380952380962</v>
      </c>
      <c r="R47" s="60">
        <f t="shared" si="67"/>
        <v>72.52</v>
      </c>
      <c r="S47" s="66">
        <f t="shared" si="54"/>
        <v>0.3813333333333333</v>
      </c>
      <c r="T47" s="75"/>
      <c r="U47" s="57" t="s">
        <v>109</v>
      </c>
      <c r="V47" s="123">
        <v>51</v>
      </c>
      <c r="W47" s="124">
        <f t="shared" si="93"/>
        <v>0.47826086956521729</v>
      </c>
      <c r="X47" s="57">
        <f t="shared" si="87"/>
        <v>48.45</v>
      </c>
      <c r="Y47" s="68">
        <f t="shared" si="94"/>
        <v>0.40434782608695663</v>
      </c>
      <c r="Z47" s="127" t="s">
        <v>110</v>
      </c>
      <c r="AA47" s="123">
        <v>76.5</v>
      </c>
      <c r="AB47" s="129">
        <f t="shared" si="95"/>
        <v>0.47826086956521729</v>
      </c>
      <c r="AC47" s="57">
        <f t="shared" si="56"/>
        <v>72.674999999999997</v>
      </c>
      <c r="AD47" s="68">
        <f t="shared" si="96"/>
        <v>0.40434782608695641</v>
      </c>
      <c r="AE47" s="75"/>
      <c r="AF47" s="58" t="s">
        <v>139</v>
      </c>
      <c r="AG47" s="58">
        <v>51</v>
      </c>
      <c r="AH47" s="46">
        <f t="shared" si="97"/>
        <v>0.47826086956521729</v>
      </c>
      <c r="AI47" s="58" t="s">
        <v>148</v>
      </c>
      <c r="AJ47" s="58">
        <v>74</v>
      </c>
      <c r="AK47" s="46">
        <f t="shared" si="98"/>
        <v>0.42995169082125595</v>
      </c>
      <c r="AL47" s="77"/>
      <c r="AM47" s="59">
        <v>37</v>
      </c>
      <c r="AN47" s="132">
        <f>SUM(AM47*1.45)</f>
        <v>53.65</v>
      </c>
      <c r="AO47" s="133">
        <f t="shared" si="88"/>
        <v>0.44999999999999996</v>
      </c>
      <c r="AP47" s="59">
        <f t="shared" si="59"/>
        <v>50.967500000000001</v>
      </c>
      <c r="AQ47" s="69">
        <f t="shared" si="60"/>
        <v>0.37749999999999995</v>
      </c>
      <c r="AR47" s="59">
        <f t="shared" si="89"/>
        <v>53.65</v>
      </c>
      <c r="AS47" s="132">
        <f>SUM(AR47*1.45)</f>
        <v>77.79249999999999</v>
      </c>
      <c r="AT47" s="135">
        <f t="shared" si="90"/>
        <v>0.44999999999999996</v>
      </c>
      <c r="AU47" s="59">
        <f t="shared" si="64"/>
        <v>73.902874999999995</v>
      </c>
      <c r="AV47" s="69">
        <f t="shared" si="65"/>
        <v>0.37749999999999995</v>
      </c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</row>
    <row r="48" spans="1:59" s="41" customFormat="1" x14ac:dyDescent="0.25">
      <c r="A48" s="143"/>
      <c r="B48" s="79" t="s">
        <v>121</v>
      </c>
      <c r="C48" s="44">
        <v>35</v>
      </c>
      <c r="D48" s="44">
        <v>52</v>
      </c>
      <c r="E48" s="52">
        <f t="shared" si="91"/>
        <v>0.48571428571428577</v>
      </c>
      <c r="F48" s="44">
        <v>52.5</v>
      </c>
      <c r="G48" s="44">
        <v>70.2</v>
      </c>
      <c r="H48" s="52">
        <f t="shared" si="92"/>
        <v>0.33714285714285719</v>
      </c>
      <c r="I48" s="75"/>
      <c r="J48" s="60" t="s">
        <v>94</v>
      </c>
      <c r="K48" s="118">
        <v>49.75</v>
      </c>
      <c r="L48" s="111">
        <f>(K48+K48)/(35+36)-1</f>
        <v>0.40140845070422526</v>
      </c>
      <c r="M48" s="60">
        <f t="shared" si="66"/>
        <v>48.755000000000003</v>
      </c>
      <c r="N48" s="66">
        <f>(M48+M48)/(35+36)-1</f>
        <v>0.37338028169014081</v>
      </c>
      <c r="O48" s="60">
        <v>53.25</v>
      </c>
      <c r="P48" s="110">
        <v>74.75</v>
      </c>
      <c r="Q48" s="111">
        <f t="shared" si="86"/>
        <v>0.40375586854460099</v>
      </c>
      <c r="R48" s="60">
        <f t="shared" si="67"/>
        <v>73.254999999999995</v>
      </c>
      <c r="S48" s="66">
        <f t="shared" si="54"/>
        <v>0.3756807511737088</v>
      </c>
      <c r="T48" s="75"/>
      <c r="U48" s="57" t="s">
        <v>109</v>
      </c>
      <c r="V48" s="123">
        <v>51</v>
      </c>
      <c r="W48" s="124">
        <f t="shared" si="93"/>
        <v>0.47826086956521729</v>
      </c>
      <c r="X48" s="57">
        <f t="shared" si="87"/>
        <v>48.45</v>
      </c>
      <c r="Y48" s="68">
        <f t="shared" si="94"/>
        <v>0.40434782608695663</v>
      </c>
      <c r="Z48" s="127" t="s">
        <v>110</v>
      </c>
      <c r="AA48" s="123">
        <v>76.5</v>
      </c>
      <c r="AB48" s="129">
        <f t="shared" si="95"/>
        <v>0.47826086956521729</v>
      </c>
      <c r="AC48" s="57">
        <f t="shared" si="56"/>
        <v>72.674999999999997</v>
      </c>
      <c r="AD48" s="68">
        <f t="shared" si="96"/>
        <v>0.40434782608695641</v>
      </c>
      <c r="AE48" s="75"/>
      <c r="AF48" s="58" t="s">
        <v>139</v>
      </c>
      <c r="AG48" s="58">
        <v>51</v>
      </c>
      <c r="AH48" s="46">
        <f t="shared" si="97"/>
        <v>0.47826086956521729</v>
      </c>
      <c r="AI48" s="58" t="s">
        <v>148</v>
      </c>
      <c r="AJ48" s="58">
        <v>74</v>
      </c>
      <c r="AK48" s="46">
        <f t="shared" si="98"/>
        <v>0.42995169082125595</v>
      </c>
      <c r="AL48" s="77"/>
      <c r="AM48" s="59">
        <v>36</v>
      </c>
      <c r="AN48" s="132">
        <f t="shared" ref="AN48:AN50" si="99">SUM(AM48*1.45)</f>
        <v>52.199999999999996</v>
      </c>
      <c r="AO48" s="133">
        <f t="shared" si="88"/>
        <v>0.44999999999999996</v>
      </c>
      <c r="AP48" s="59">
        <f t="shared" si="59"/>
        <v>49.589999999999996</v>
      </c>
      <c r="AQ48" s="69">
        <f t="shared" si="60"/>
        <v>0.37749999999999995</v>
      </c>
      <c r="AR48" s="59">
        <f t="shared" si="89"/>
        <v>52.199999999999996</v>
      </c>
      <c r="AS48" s="132">
        <f t="shared" ref="AS48:AS50" si="100">SUM(AR48*1.45)</f>
        <v>75.69</v>
      </c>
      <c r="AT48" s="135">
        <f t="shared" si="90"/>
        <v>0.45000000000000018</v>
      </c>
      <c r="AU48" s="59">
        <f t="shared" si="64"/>
        <v>71.905500000000004</v>
      </c>
      <c r="AV48" s="69">
        <f t="shared" si="65"/>
        <v>0.37750000000000017</v>
      </c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</row>
    <row r="49" spans="1:59" s="41" customFormat="1" x14ac:dyDescent="0.25">
      <c r="A49" s="143"/>
      <c r="B49" s="79" t="s">
        <v>122</v>
      </c>
      <c r="C49" s="44">
        <v>35</v>
      </c>
      <c r="D49" s="44">
        <v>52</v>
      </c>
      <c r="E49" s="52">
        <f t="shared" si="91"/>
        <v>0.48571428571428577</v>
      </c>
      <c r="F49" s="44">
        <v>52.5</v>
      </c>
      <c r="G49" s="44">
        <v>70.2</v>
      </c>
      <c r="H49" s="52">
        <f t="shared" si="92"/>
        <v>0.33714285714285719</v>
      </c>
      <c r="I49" s="75"/>
      <c r="J49" s="60" t="s">
        <v>96</v>
      </c>
      <c r="K49" s="118">
        <v>49.75</v>
      </c>
      <c r="L49" s="111">
        <f>(K49+K49)/(35.5+37)-1</f>
        <v>0.37241379310344835</v>
      </c>
      <c r="M49" s="60">
        <f t="shared" si="66"/>
        <v>48.755000000000003</v>
      </c>
      <c r="N49" s="66">
        <f>(M49+M49)/(35.5+37)-1</f>
        <v>0.34496551724137947</v>
      </c>
      <c r="O49" s="60">
        <v>54</v>
      </c>
      <c r="P49" s="110">
        <v>74.75</v>
      </c>
      <c r="Q49" s="111">
        <f t="shared" si="86"/>
        <v>0.3842592592592593</v>
      </c>
      <c r="R49" s="60">
        <f t="shared" si="67"/>
        <v>73.254999999999995</v>
      </c>
      <c r="S49" s="66">
        <f t="shared" si="54"/>
        <v>0.35657407407407393</v>
      </c>
      <c r="T49" s="75"/>
      <c r="U49" s="57" t="s">
        <v>109</v>
      </c>
      <c r="V49" s="123">
        <v>51</v>
      </c>
      <c r="W49" s="124">
        <f t="shared" si="93"/>
        <v>0.47826086956521729</v>
      </c>
      <c r="X49" s="57">
        <f t="shared" si="87"/>
        <v>48.45</v>
      </c>
      <c r="Y49" s="68">
        <f t="shared" si="94"/>
        <v>0.40434782608695663</v>
      </c>
      <c r="Z49" s="127" t="s">
        <v>110</v>
      </c>
      <c r="AA49" s="123">
        <v>76.5</v>
      </c>
      <c r="AB49" s="129">
        <f t="shared" si="95"/>
        <v>0.47826086956521729</v>
      </c>
      <c r="AC49" s="57">
        <f t="shared" si="56"/>
        <v>72.674999999999997</v>
      </c>
      <c r="AD49" s="68">
        <f t="shared" si="96"/>
        <v>0.40434782608695641</v>
      </c>
      <c r="AE49" s="75"/>
      <c r="AF49" s="58" t="s">
        <v>139</v>
      </c>
      <c r="AG49" s="58">
        <v>51</v>
      </c>
      <c r="AH49" s="46">
        <f t="shared" si="97"/>
        <v>0.47826086956521729</v>
      </c>
      <c r="AI49" s="58" t="s">
        <v>148</v>
      </c>
      <c r="AJ49" s="58">
        <v>74</v>
      </c>
      <c r="AK49" s="46">
        <f t="shared" si="98"/>
        <v>0.42995169082125595</v>
      </c>
      <c r="AL49" s="77"/>
      <c r="AM49" s="59">
        <v>37</v>
      </c>
      <c r="AN49" s="132">
        <f t="shared" si="99"/>
        <v>53.65</v>
      </c>
      <c r="AO49" s="133">
        <f t="shared" si="88"/>
        <v>0.44999999999999996</v>
      </c>
      <c r="AP49" s="59">
        <f t="shared" si="59"/>
        <v>50.967500000000001</v>
      </c>
      <c r="AQ49" s="69">
        <f t="shared" si="60"/>
        <v>0.37749999999999995</v>
      </c>
      <c r="AR49" s="59">
        <f t="shared" si="89"/>
        <v>53.65</v>
      </c>
      <c r="AS49" s="132">
        <f t="shared" si="100"/>
        <v>77.79249999999999</v>
      </c>
      <c r="AT49" s="135">
        <f t="shared" si="90"/>
        <v>0.44999999999999996</v>
      </c>
      <c r="AU49" s="59">
        <f t="shared" si="64"/>
        <v>73.902874999999995</v>
      </c>
      <c r="AV49" s="69">
        <f t="shared" si="65"/>
        <v>0.37749999999999995</v>
      </c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</row>
    <row r="50" spans="1:59" s="41" customFormat="1" x14ac:dyDescent="0.25">
      <c r="A50" s="144"/>
      <c r="B50" s="79" t="s">
        <v>176</v>
      </c>
      <c r="C50" s="44">
        <v>35</v>
      </c>
      <c r="D50" s="44">
        <v>52</v>
      </c>
      <c r="E50" s="52">
        <f t="shared" si="91"/>
        <v>0.48571428571428577</v>
      </c>
      <c r="F50" s="44">
        <v>52.5</v>
      </c>
      <c r="G50" s="44">
        <v>70.2</v>
      </c>
      <c r="H50" s="52">
        <f t="shared" si="92"/>
        <v>0.33714285714285719</v>
      </c>
      <c r="I50" s="75"/>
      <c r="J50" s="60" t="s">
        <v>98</v>
      </c>
      <c r="K50" s="118">
        <v>50</v>
      </c>
      <c r="L50" s="111">
        <f>(K50+K50)/(36.5+38.5)-1</f>
        <v>0.33333333333333326</v>
      </c>
      <c r="M50" s="60">
        <f t="shared" si="66"/>
        <v>49</v>
      </c>
      <c r="N50" s="66">
        <f>(M50+M50)/(36.5+38.5)-1</f>
        <v>0.30666666666666664</v>
      </c>
      <c r="O50" s="60">
        <v>55.5</v>
      </c>
      <c r="P50" s="110">
        <v>75</v>
      </c>
      <c r="Q50" s="111">
        <f t="shared" si="86"/>
        <v>0.35135135135135132</v>
      </c>
      <c r="R50" s="60">
        <f t="shared" si="67"/>
        <v>73.5</v>
      </c>
      <c r="S50" s="66">
        <f t="shared" si="54"/>
        <v>0.32432432432432434</v>
      </c>
      <c r="T50" s="75"/>
      <c r="U50" s="57" t="s">
        <v>109</v>
      </c>
      <c r="V50" s="123">
        <v>51</v>
      </c>
      <c r="W50" s="124">
        <f t="shared" si="93"/>
        <v>0.47826086956521729</v>
      </c>
      <c r="X50" s="57">
        <f t="shared" si="87"/>
        <v>48.45</v>
      </c>
      <c r="Y50" s="68">
        <f t="shared" si="94"/>
        <v>0.40434782608695663</v>
      </c>
      <c r="Z50" s="127" t="s">
        <v>110</v>
      </c>
      <c r="AA50" s="123">
        <v>76.5</v>
      </c>
      <c r="AB50" s="129">
        <f t="shared" si="95"/>
        <v>0.47826086956521729</v>
      </c>
      <c r="AC50" s="57">
        <f t="shared" si="56"/>
        <v>72.674999999999997</v>
      </c>
      <c r="AD50" s="68">
        <f t="shared" si="96"/>
        <v>0.40434782608695641</v>
      </c>
      <c r="AE50" s="75"/>
      <c r="AF50" s="58" t="s">
        <v>139</v>
      </c>
      <c r="AG50" s="58">
        <v>51</v>
      </c>
      <c r="AH50" s="46">
        <f t="shared" si="97"/>
        <v>0.47826086956521729</v>
      </c>
      <c r="AI50" s="58" t="s">
        <v>148</v>
      </c>
      <c r="AJ50" s="58">
        <v>74</v>
      </c>
      <c r="AK50" s="46">
        <f t="shared" si="98"/>
        <v>0.42995169082125595</v>
      </c>
      <c r="AL50" s="77"/>
      <c r="AM50" s="59">
        <v>38</v>
      </c>
      <c r="AN50" s="132">
        <f t="shared" si="99"/>
        <v>55.1</v>
      </c>
      <c r="AO50" s="133">
        <f t="shared" si="88"/>
        <v>0.44999999999999996</v>
      </c>
      <c r="AP50" s="59">
        <f t="shared" si="59"/>
        <v>52.344999999999999</v>
      </c>
      <c r="AQ50" s="69">
        <f t="shared" si="60"/>
        <v>0.37749999999999995</v>
      </c>
      <c r="AR50" s="59">
        <f t="shared" si="89"/>
        <v>55.1</v>
      </c>
      <c r="AS50" s="132">
        <f t="shared" si="100"/>
        <v>79.894999999999996</v>
      </c>
      <c r="AT50" s="135">
        <f t="shared" si="90"/>
        <v>0.44999999999999996</v>
      </c>
      <c r="AU50" s="59">
        <f t="shared" si="64"/>
        <v>75.90025</v>
      </c>
      <c r="AV50" s="69">
        <f t="shared" si="65"/>
        <v>0.37749999999999995</v>
      </c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</row>
    <row r="51" spans="1:59" s="78" customFormat="1" ht="8.4499999999999993" customHeight="1" x14ac:dyDescent="0.25">
      <c r="A51" s="72"/>
      <c r="B51" s="73"/>
      <c r="C51" s="74"/>
      <c r="D51" s="74"/>
      <c r="E51" s="75"/>
      <c r="F51" s="74"/>
      <c r="G51" s="74"/>
      <c r="H51" s="75"/>
      <c r="I51" s="75"/>
      <c r="J51" s="74"/>
      <c r="K51" s="115"/>
      <c r="L51" s="130"/>
      <c r="M51" s="74"/>
      <c r="N51" s="75"/>
      <c r="O51" s="74"/>
      <c r="P51" s="120"/>
      <c r="Q51" s="130"/>
      <c r="R51" s="75"/>
      <c r="S51" s="75"/>
      <c r="T51" s="75"/>
      <c r="U51" s="76"/>
      <c r="V51" s="119"/>
      <c r="W51" s="126"/>
      <c r="X51" s="76"/>
      <c r="Y51" s="77"/>
      <c r="Z51" s="128"/>
      <c r="AA51" s="119"/>
      <c r="AB51" s="130"/>
      <c r="AC51" s="75"/>
      <c r="AD51" s="75"/>
      <c r="AE51" s="75"/>
      <c r="AF51" s="76"/>
      <c r="AG51" s="76"/>
      <c r="AH51" s="77"/>
      <c r="AI51" s="76"/>
      <c r="AJ51" s="76"/>
      <c r="AK51" s="77"/>
      <c r="AL51" s="77"/>
      <c r="AM51" s="76"/>
      <c r="AN51" s="119"/>
      <c r="AO51" s="126"/>
      <c r="AP51" s="77"/>
      <c r="AQ51" s="77"/>
      <c r="AR51" s="76"/>
      <c r="AS51" s="119"/>
      <c r="AT51" s="130"/>
      <c r="AU51" s="75"/>
      <c r="AV51" s="75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</row>
    <row r="52" spans="1:59" s="41" customFormat="1" x14ac:dyDescent="0.25">
      <c r="A52" s="81" t="s">
        <v>1</v>
      </c>
      <c r="B52" s="96" t="s">
        <v>90</v>
      </c>
      <c r="C52" s="109">
        <v>34</v>
      </c>
      <c r="D52" s="109">
        <v>54</v>
      </c>
      <c r="E52" s="53">
        <f>D52/C52-1</f>
        <v>0.58823529411764697</v>
      </c>
      <c r="F52" s="109">
        <v>51</v>
      </c>
      <c r="G52" s="109">
        <v>72.900000000000006</v>
      </c>
      <c r="H52" s="52">
        <f>G52/F52-1</f>
        <v>0.42941176470588238</v>
      </c>
      <c r="I52" s="75"/>
      <c r="J52" s="56" t="s">
        <v>106</v>
      </c>
      <c r="K52" s="117">
        <v>55</v>
      </c>
      <c r="L52" s="111">
        <f>(K52+K52)/(35+37)-1</f>
        <v>0.52777777777777768</v>
      </c>
      <c r="M52" s="60">
        <f t="shared" si="66"/>
        <v>53.9</v>
      </c>
      <c r="N52" s="66">
        <f>(M52+M52)/(35+37)-1</f>
        <v>0.49722222222222223</v>
      </c>
      <c r="O52" s="56">
        <v>54</v>
      </c>
      <c r="P52" s="112">
        <v>82.5</v>
      </c>
      <c r="Q52" s="111">
        <f>P52/O52-1</f>
        <v>0.52777777777777768</v>
      </c>
      <c r="R52" s="60">
        <f t="shared" si="67"/>
        <v>80.849999999999994</v>
      </c>
      <c r="S52" s="66">
        <f t="shared" si="54"/>
        <v>0.49722222222222201</v>
      </c>
      <c r="T52" s="75"/>
      <c r="U52" s="57" t="s">
        <v>115</v>
      </c>
      <c r="V52" s="123">
        <v>54</v>
      </c>
      <c r="W52" s="124">
        <f>(V52+V52)/(33+35)-1</f>
        <v>0.58823529411764697</v>
      </c>
      <c r="X52" s="57">
        <f t="shared" ref="X52" si="101">V52-(V52*0.05)</f>
        <v>51.3</v>
      </c>
      <c r="Y52" s="68">
        <f t="shared" ref="Y52" si="102">(X52+X52)/(33+35)-1</f>
        <v>0.50882352941176467</v>
      </c>
      <c r="Z52" s="127" t="s">
        <v>116</v>
      </c>
      <c r="AA52" s="123">
        <v>81</v>
      </c>
      <c r="AB52" s="129">
        <f>(AA52+AA52)/(49.25+52.5)-1</f>
        <v>0.59213759213759221</v>
      </c>
      <c r="AC52" s="57">
        <f t="shared" si="56"/>
        <v>76.95</v>
      </c>
      <c r="AD52" s="68">
        <f>(AC52+AC52)/(49.5+52.5)-1</f>
        <v>0.50882352941176467</v>
      </c>
      <c r="AE52" s="75"/>
      <c r="AF52" s="45" t="s">
        <v>149</v>
      </c>
      <c r="AG52" s="58">
        <v>52</v>
      </c>
      <c r="AH52" s="46">
        <f>(AG52+AG52)/(25+35)-1</f>
        <v>0.73333333333333339</v>
      </c>
      <c r="AI52" s="45" t="s">
        <v>150</v>
      </c>
      <c r="AJ52" s="42">
        <v>81</v>
      </c>
      <c r="AK52" s="46">
        <f>(AJ52+AJ52)/(42+52.5)-1</f>
        <v>0.71428571428571419</v>
      </c>
      <c r="AL52" s="77"/>
      <c r="AM52" s="59">
        <v>33</v>
      </c>
      <c r="AN52" s="132">
        <f>SUM(AM52*1.45)</f>
        <v>47.85</v>
      </c>
      <c r="AO52" s="133">
        <f>AN52/AM52-1</f>
        <v>0.44999999999999996</v>
      </c>
      <c r="AP52" s="59">
        <f t="shared" si="59"/>
        <v>45.457500000000003</v>
      </c>
      <c r="AQ52" s="69">
        <f t="shared" si="60"/>
        <v>0.37750000000000017</v>
      </c>
      <c r="AR52" s="59">
        <f>SUM(AN52)</f>
        <v>47.85</v>
      </c>
      <c r="AS52" s="132">
        <f>SUM(AR52*1.45)</f>
        <v>69.382499999999993</v>
      </c>
      <c r="AT52" s="135">
        <f>AS52/AR52-1</f>
        <v>0.44999999999999973</v>
      </c>
      <c r="AU52" s="59">
        <f t="shared" si="64"/>
        <v>65.913374999999988</v>
      </c>
      <c r="AV52" s="69">
        <f t="shared" si="65"/>
        <v>0.37749999999999972</v>
      </c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</row>
    <row r="53" spans="1:59" s="78" customFormat="1" ht="8.4499999999999993" customHeight="1" x14ac:dyDescent="0.25">
      <c r="A53" s="93"/>
      <c r="B53" s="73"/>
      <c r="C53" s="76"/>
      <c r="D53" s="76"/>
      <c r="E53" s="77"/>
      <c r="F53" s="76"/>
      <c r="G53" s="76"/>
      <c r="H53" s="75"/>
      <c r="I53" s="75"/>
      <c r="J53" s="76"/>
      <c r="K53" s="114"/>
      <c r="L53" s="130"/>
      <c r="M53" s="74"/>
      <c r="N53" s="75"/>
      <c r="O53" s="76"/>
      <c r="P53" s="76"/>
      <c r="Q53" s="75"/>
      <c r="R53" s="74"/>
      <c r="S53" s="75"/>
      <c r="T53" s="75"/>
      <c r="U53" s="76"/>
      <c r="V53" s="76"/>
      <c r="W53" s="77"/>
      <c r="X53" s="76"/>
      <c r="Y53" s="77"/>
      <c r="Z53" s="76"/>
      <c r="AA53" s="76"/>
      <c r="AB53" s="75"/>
      <c r="AC53" s="75"/>
      <c r="AD53" s="75"/>
      <c r="AE53" s="75"/>
      <c r="AF53" s="76"/>
      <c r="AG53" s="76"/>
      <c r="AH53" s="77"/>
      <c r="AI53" s="76"/>
      <c r="AJ53" s="76"/>
      <c r="AK53" s="77"/>
      <c r="AL53" s="77"/>
      <c r="AM53" s="76"/>
      <c r="AN53" s="76"/>
      <c r="AO53" s="77"/>
      <c r="AP53" s="76"/>
      <c r="AQ53" s="77"/>
      <c r="AR53" s="76"/>
      <c r="AS53" s="76"/>
      <c r="AT53" s="75"/>
      <c r="AU53" s="75"/>
      <c r="AV53" s="75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</row>
  </sheetData>
  <mergeCells count="31">
    <mergeCell ref="J2:S2"/>
    <mergeCell ref="U2:AD2"/>
    <mergeCell ref="A45:A50"/>
    <mergeCell ref="A31:A36"/>
    <mergeCell ref="U27:AD27"/>
    <mergeCell ref="U20:AD20"/>
    <mergeCell ref="A1:B2"/>
    <mergeCell ref="A4:A9"/>
    <mergeCell ref="A11:A16"/>
    <mergeCell ref="A38:A43"/>
    <mergeCell ref="C2:H2"/>
    <mergeCell ref="C25:H25"/>
    <mergeCell ref="C22:H22"/>
    <mergeCell ref="C23:H23"/>
    <mergeCell ref="C24:H24"/>
    <mergeCell ref="AF2:AK2"/>
    <mergeCell ref="AM2:AV2"/>
    <mergeCell ref="U18:AD18"/>
    <mergeCell ref="AM18:AV18"/>
    <mergeCell ref="U22:AD22"/>
    <mergeCell ref="AM22:AV22"/>
    <mergeCell ref="AM27:AV27"/>
    <mergeCell ref="U29:AD29"/>
    <mergeCell ref="AF29:AK29"/>
    <mergeCell ref="AM29:AV29"/>
    <mergeCell ref="U23:AD23"/>
    <mergeCell ref="AM23:AV23"/>
    <mergeCell ref="U24:AD24"/>
    <mergeCell ref="AM24:AV24"/>
    <mergeCell ref="U25:AD25"/>
    <mergeCell ref="AM25:AV25"/>
  </mergeCells>
  <pageMargins left="0.7" right="0.7" top="0.75" bottom="0.75" header="0.3" footer="0.3"/>
  <pageSetup scale="66" fitToWidth="0" orientation="landscape" verticalDpi="0" r:id="rId1"/>
  <headerFooter>
    <oddFooter>&amp;RGSS14113-TEMNURSELTC
 Pricing Spreadsheet AD 9</oddFooter>
  </headerFooter>
  <colBreaks count="4" manualBreakCount="4">
    <brk id="8" max="1048575" man="1"/>
    <brk id="19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VENDOR CONTACT INFO</vt:lpstr>
      <vt:lpstr>New Castle</vt:lpstr>
      <vt:lpstr>Kent</vt:lpstr>
      <vt:lpstr>Sussex</vt:lpstr>
      <vt:lpstr>'New Castle'!Print_Area</vt:lpstr>
      <vt:lpstr>'VENDOR CONTACT INFO'!Print_Area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Kim (OMB)</dc:creator>
  <cp:lastModifiedBy>Jacobs, Madonna (OMB)</cp:lastModifiedBy>
  <cp:lastPrinted>2018-01-26T15:41:35Z</cp:lastPrinted>
  <dcterms:created xsi:type="dcterms:W3CDTF">2014-06-19T18:32:44Z</dcterms:created>
  <dcterms:modified xsi:type="dcterms:W3CDTF">2018-01-30T18:15:36Z</dcterms:modified>
</cp:coreProperties>
</file>